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 activeTab="7"/>
  </bookViews>
  <sheets>
    <sheet name="UMC" sheetId="2" r:id="rId1"/>
    <sheet name="UMC Wealth by Age" sheetId="5" r:id="rId2"/>
    <sheet name="LUC" sheetId="1" r:id="rId3"/>
    <sheet name="LUC Wealth by Age" sheetId="4" r:id="rId4"/>
    <sheet name="UC" sheetId="3" r:id="rId5"/>
    <sheet name="UC Wealth by Age" sheetId="6" r:id="rId6"/>
    <sheet name="Composite" sheetId="7" r:id="rId7"/>
    <sheet name="Wealth by Age by Class" sheetId="8" r:id="rId8"/>
  </sheets>
  <calcPr calcId="145621"/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2" i="7"/>
  <c r="G74" i="3"/>
  <c r="G75" i="3" s="1"/>
  <c r="G76" i="3" s="1"/>
  <c r="G77" i="3" s="1"/>
  <c r="G78" i="3" s="1"/>
  <c r="G79" i="3" s="1"/>
  <c r="G80" i="3" s="1"/>
  <c r="G73" i="3"/>
  <c r="H72" i="3"/>
  <c r="H73" i="3" s="1"/>
  <c r="H74" i="3" s="1"/>
  <c r="H75" i="3" s="1"/>
  <c r="H76" i="3" s="1"/>
  <c r="H77" i="3" s="1"/>
  <c r="H78" i="3" s="1"/>
  <c r="H79" i="3" s="1"/>
  <c r="H80" i="3" s="1"/>
  <c r="G62" i="3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H62" i="3"/>
  <c r="H63" i="3" s="1"/>
  <c r="H64" i="3" s="1"/>
  <c r="H65" i="3" s="1"/>
  <c r="H66" i="3" s="1"/>
  <c r="H67" i="3" s="1"/>
  <c r="H68" i="3" s="1"/>
  <c r="H69" i="3" s="1"/>
  <c r="H70" i="3" s="1"/>
  <c r="H71" i="3" s="1"/>
  <c r="G61" i="3"/>
  <c r="G58" i="3"/>
  <c r="G59" i="3" s="1"/>
  <c r="G60" i="3" s="1"/>
  <c r="G57" i="3"/>
  <c r="H52" i="3"/>
  <c r="H53" i="3" s="1"/>
  <c r="H54" i="3" s="1"/>
  <c r="H55" i="3" s="1"/>
  <c r="H56" i="3" s="1"/>
  <c r="H57" i="3" s="1"/>
  <c r="H58" i="3" s="1"/>
  <c r="H59" i="3" s="1"/>
  <c r="H60" i="3" s="1"/>
  <c r="H51" i="3"/>
  <c r="H50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H21" i="3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F21" i="3"/>
  <c r="F20" i="3"/>
  <c r="F19" i="3"/>
  <c r="F18" i="3"/>
  <c r="F17" i="3"/>
  <c r="F16" i="3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E8" i="3"/>
  <c r="E9" i="3" s="1"/>
  <c r="E10" i="3" s="1"/>
  <c r="E11" i="3" s="1"/>
  <c r="B4" i="3"/>
  <c r="B3" i="3"/>
  <c r="G80" i="2"/>
  <c r="H80" i="2"/>
  <c r="H78" i="2"/>
  <c r="H79" i="2" s="1"/>
  <c r="H77" i="2"/>
  <c r="G78" i="2"/>
  <c r="G79" i="2" s="1"/>
  <c r="G77" i="2"/>
  <c r="G58" i="2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H56" i="2"/>
  <c r="G56" i="2"/>
  <c r="G57" i="2" s="1"/>
  <c r="F56" i="2"/>
  <c r="H50" i="2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E16" i="1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D26" i="2"/>
  <c r="F25" i="2"/>
  <c r="F24" i="2"/>
  <c r="F23" i="2"/>
  <c r="F22" i="2"/>
  <c r="D22" i="2"/>
  <c r="F21" i="2"/>
  <c r="F20" i="2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F19" i="2"/>
  <c r="F18" i="2"/>
  <c r="G17" i="2"/>
  <c r="G18" i="2" s="1"/>
  <c r="F17" i="2"/>
  <c r="G16" i="2"/>
  <c r="F16" i="2"/>
  <c r="C15" i="2"/>
  <c r="C14" i="2"/>
  <c r="D12" i="2"/>
  <c r="C11" i="2"/>
  <c r="C10" i="2"/>
  <c r="C9" i="2"/>
  <c r="E8" i="2"/>
  <c r="I8" i="2" s="1"/>
  <c r="B9" i="2" s="1"/>
  <c r="B4" i="2"/>
  <c r="D40" i="2" s="1"/>
  <c r="B3" i="2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1" i="2" s="1"/>
  <c r="H52" i="2" s="1"/>
  <c r="H53" i="2" s="1"/>
  <c r="H54" i="2" s="1"/>
  <c r="H55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61" i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61" i="1"/>
  <c r="I61" i="1" s="1"/>
  <c r="G57" i="1"/>
  <c r="G58" i="1" s="1"/>
  <c r="G59" i="1" s="1"/>
  <c r="G60" i="1" s="1"/>
  <c r="G56" i="1"/>
  <c r="H57" i="1"/>
  <c r="H58" i="1" s="1"/>
  <c r="H52" i="1"/>
  <c r="H53" i="1" s="1"/>
  <c r="H54" i="1" s="1"/>
  <c r="H55" i="1" s="1"/>
  <c r="H51" i="1"/>
  <c r="H50" i="1"/>
  <c r="H22" i="1"/>
  <c r="I50" i="1"/>
  <c r="H21" i="1"/>
  <c r="B5" i="1"/>
  <c r="I57" i="1"/>
  <c r="E8" i="1"/>
  <c r="E9" i="1" s="1"/>
  <c r="I9" i="1" s="1"/>
  <c r="B4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17" i="1"/>
  <c r="G16" i="1"/>
  <c r="B3" i="1"/>
  <c r="C15" i="1"/>
  <c r="C14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7" i="1"/>
  <c r="F18" i="1"/>
  <c r="F19" i="1"/>
  <c r="F20" i="1"/>
  <c r="F16" i="1"/>
  <c r="H61" i="3" l="1"/>
  <c r="I9" i="3"/>
  <c r="B10" i="3" s="1"/>
  <c r="I11" i="3"/>
  <c r="I8" i="3"/>
  <c r="B9" i="3" s="1"/>
  <c r="I10" i="3"/>
  <c r="B11" i="3" s="1"/>
  <c r="G42" i="3"/>
  <c r="I41" i="3"/>
  <c r="B42" i="3" s="1"/>
  <c r="I14" i="3"/>
  <c r="B15" i="3" s="1"/>
  <c r="I16" i="3"/>
  <c r="B17" i="3" s="1"/>
  <c r="I12" i="3"/>
  <c r="I13" i="3"/>
  <c r="B14" i="3" s="1"/>
  <c r="I15" i="3"/>
  <c r="B16" i="3" s="1"/>
  <c r="H76" i="2"/>
  <c r="E10" i="1"/>
  <c r="I10" i="1" s="1"/>
  <c r="I8" i="1"/>
  <c r="B9" i="1" s="1"/>
  <c r="I41" i="2"/>
  <c r="B42" i="2" s="1"/>
  <c r="G42" i="2"/>
  <c r="E9" i="2"/>
  <c r="D13" i="2"/>
  <c r="D16" i="2"/>
  <c r="D18" i="2"/>
  <c r="D20" i="2"/>
  <c r="D23" i="2"/>
  <c r="D27" i="2"/>
  <c r="D31" i="2"/>
  <c r="D35" i="2"/>
  <c r="D39" i="2"/>
  <c r="D30" i="2"/>
  <c r="D34" i="2"/>
  <c r="D38" i="2"/>
  <c r="D17" i="2"/>
  <c r="D19" i="2"/>
  <c r="D21" i="2"/>
  <c r="D25" i="2"/>
  <c r="D29" i="2"/>
  <c r="D33" i="2"/>
  <c r="D37" i="2"/>
  <c r="D24" i="2"/>
  <c r="D28" i="2"/>
  <c r="D32" i="2"/>
  <c r="D36" i="2"/>
  <c r="H59" i="1"/>
  <c r="I58" i="1"/>
  <c r="I51" i="1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B10" i="1"/>
  <c r="B13" i="3" l="1"/>
  <c r="B12" i="3"/>
  <c r="I17" i="3"/>
  <c r="B18" i="3" s="1"/>
  <c r="I42" i="3"/>
  <c r="B43" i="3" s="1"/>
  <c r="G43" i="3"/>
  <c r="E11" i="1"/>
  <c r="I11" i="1"/>
  <c r="I9" i="2"/>
  <c r="B10" i="2" s="1"/>
  <c r="E10" i="2"/>
  <c r="I42" i="2"/>
  <c r="B43" i="2" s="1"/>
  <c r="G43" i="2"/>
  <c r="I62" i="1"/>
  <c r="I59" i="1"/>
  <c r="H60" i="1"/>
  <c r="I60" i="1" s="1"/>
  <c r="I52" i="1"/>
  <c r="B11" i="1"/>
  <c r="I43" i="3" l="1"/>
  <c r="B44" i="3" s="1"/>
  <c r="G44" i="3"/>
  <c r="I18" i="3"/>
  <c r="B19" i="3" s="1"/>
  <c r="B12" i="1"/>
  <c r="I12" i="1"/>
  <c r="B13" i="1" s="1"/>
  <c r="I43" i="2"/>
  <c r="B44" i="2" s="1"/>
  <c r="G44" i="2"/>
  <c r="I10" i="2"/>
  <c r="B11" i="2" s="1"/>
  <c r="E11" i="2"/>
  <c r="I63" i="1"/>
  <c r="I53" i="1"/>
  <c r="I19" i="3" l="1"/>
  <c r="B20" i="3" s="1"/>
  <c r="I44" i="3"/>
  <c r="B45" i="3" s="1"/>
  <c r="G45" i="3"/>
  <c r="I13" i="1"/>
  <c r="B14" i="1" s="1"/>
  <c r="E14" i="1"/>
  <c r="G45" i="2"/>
  <c r="I44" i="2"/>
  <c r="B45" i="2" s="1"/>
  <c r="I11" i="2"/>
  <c r="B12" i="2" s="1"/>
  <c r="E12" i="2"/>
  <c r="I64" i="1"/>
  <c r="I54" i="1"/>
  <c r="G46" i="3" l="1"/>
  <c r="I45" i="3"/>
  <c r="B46" i="3" s="1"/>
  <c r="I20" i="3"/>
  <c r="B21" i="3" s="1"/>
  <c r="I14" i="1"/>
  <c r="B15" i="1" s="1"/>
  <c r="E15" i="1"/>
  <c r="I12" i="2"/>
  <c r="B13" i="2" s="1"/>
  <c r="E13" i="2"/>
  <c r="I45" i="2"/>
  <c r="B46" i="2" s="1"/>
  <c r="G46" i="2"/>
  <c r="I65" i="1"/>
  <c r="I55" i="1"/>
  <c r="H56" i="1"/>
  <c r="I56" i="1" s="1"/>
  <c r="I21" i="3" l="1"/>
  <c r="B22" i="3" s="1"/>
  <c r="I46" i="3"/>
  <c r="B47" i="3" s="1"/>
  <c r="G47" i="3"/>
  <c r="I15" i="1"/>
  <c r="B16" i="1" s="1"/>
  <c r="I46" i="2"/>
  <c r="B47" i="2" s="1"/>
  <c r="G47" i="2"/>
  <c r="I13" i="2"/>
  <c r="B14" i="2" s="1"/>
  <c r="E14" i="2"/>
  <c r="I66" i="1"/>
  <c r="I47" i="3" l="1"/>
  <c r="B48" i="3" s="1"/>
  <c r="G48" i="3"/>
  <c r="I22" i="3"/>
  <c r="B23" i="3" s="1"/>
  <c r="I16" i="1"/>
  <c r="B17" i="1" s="1"/>
  <c r="I14" i="2"/>
  <c r="B15" i="2" s="1"/>
  <c r="E15" i="2"/>
  <c r="I47" i="2"/>
  <c r="B48" i="2" s="1"/>
  <c r="G48" i="2"/>
  <c r="I67" i="1"/>
  <c r="I48" i="3" l="1"/>
  <c r="B49" i="3" s="1"/>
  <c r="G49" i="3"/>
  <c r="I23" i="3"/>
  <c r="B24" i="3" s="1"/>
  <c r="I17" i="1"/>
  <c r="B18" i="1" s="1"/>
  <c r="G49" i="2"/>
  <c r="I48" i="2"/>
  <c r="B49" i="2" s="1"/>
  <c r="I15" i="2"/>
  <c r="B16" i="2" s="1"/>
  <c r="E16" i="2"/>
  <c r="I68" i="1"/>
  <c r="G50" i="3" l="1"/>
  <c r="I49" i="3"/>
  <c r="B50" i="3" s="1"/>
  <c r="I24" i="3"/>
  <c r="B25" i="3" s="1"/>
  <c r="I18" i="1"/>
  <c r="B19" i="1" s="1"/>
  <c r="E17" i="2"/>
  <c r="I16" i="2"/>
  <c r="B17" i="2" s="1"/>
  <c r="I49" i="2"/>
  <c r="B50" i="2" s="1"/>
  <c r="G50" i="2"/>
  <c r="I69" i="1"/>
  <c r="I25" i="3" l="1"/>
  <c r="B26" i="3" s="1"/>
  <c r="I50" i="3"/>
  <c r="B51" i="3" s="1"/>
  <c r="G51" i="3"/>
  <c r="I19" i="1"/>
  <c r="B20" i="1" s="1"/>
  <c r="I50" i="2"/>
  <c r="B51" i="2" s="1"/>
  <c r="G51" i="2"/>
  <c r="I17" i="2"/>
  <c r="B18" i="2" s="1"/>
  <c r="E18" i="2"/>
  <c r="I70" i="1"/>
  <c r="I26" i="3" l="1"/>
  <c r="B27" i="3" s="1"/>
  <c r="I51" i="3"/>
  <c r="B52" i="3" s="1"/>
  <c r="G52" i="3"/>
  <c r="I20" i="1"/>
  <c r="B21" i="1" s="1"/>
  <c r="E19" i="2"/>
  <c r="I18" i="2"/>
  <c r="B19" i="2" s="1"/>
  <c r="I51" i="2"/>
  <c r="B52" i="2" s="1"/>
  <c r="G52" i="2"/>
  <c r="I71" i="1"/>
  <c r="I52" i="3" l="1"/>
  <c r="B53" i="3" s="1"/>
  <c r="G53" i="3"/>
  <c r="I27" i="3"/>
  <c r="B28" i="3" s="1"/>
  <c r="I21" i="1"/>
  <c r="B22" i="1" s="1"/>
  <c r="G53" i="2"/>
  <c r="I52" i="2"/>
  <c r="B53" i="2" s="1"/>
  <c r="I19" i="2"/>
  <c r="B20" i="2" s="1"/>
  <c r="E20" i="2"/>
  <c r="I72" i="1"/>
  <c r="G54" i="3" l="1"/>
  <c r="I53" i="3"/>
  <c r="B54" i="3" s="1"/>
  <c r="I28" i="3"/>
  <c r="B29" i="3" s="1"/>
  <c r="I22" i="1"/>
  <c r="B23" i="1" s="1"/>
  <c r="E21" i="2"/>
  <c r="I20" i="2"/>
  <c r="B21" i="2" s="1"/>
  <c r="I53" i="2"/>
  <c r="B54" i="2" s="1"/>
  <c r="G54" i="2"/>
  <c r="I73" i="1"/>
  <c r="I29" i="3" l="1"/>
  <c r="B30" i="3" s="1"/>
  <c r="I54" i="3"/>
  <c r="B55" i="3" s="1"/>
  <c r="G55" i="3"/>
  <c r="I23" i="1"/>
  <c r="B24" i="1" s="1"/>
  <c r="I54" i="2"/>
  <c r="B55" i="2" s="1"/>
  <c r="G55" i="2"/>
  <c r="I21" i="2"/>
  <c r="B22" i="2" s="1"/>
  <c r="E22" i="2"/>
  <c r="I74" i="1"/>
  <c r="I30" i="3" l="1"/>
  <c r="B31" i="3" s="1"/>
  <c r="I55" i="3"/>
  <c r="B56" i="3" s="1"/>
  <c r="G56" i="3"/>
  <c r="I24" i="1"/>
  <c r="B25" i="1" s="1"/>
  <c r="I55" i="2"/>
  <c r="B56" i="2" s="1"/>
  <c r="I22" i="2"/>
  <c r="B23" i="2" s="1"/>
  <c r="E23" i="2"/>
  <c r="I75" i="1"/>
  <c r="I56" i="3" l="1"/>
  <c r="B57" i="3" s="1"/>
  <c r="I31" i="3"/>
  <c r="B32" i="3" s="1"/>
  <c r="I25" i="1"/>
  <c r="B26" i="1" s="1"/>
  <c r="I56" i="2"/>
  <c r="B57" i="2" s="1"/>
  <c r="E24" i="2"/>
  <c r="I23" i="2"/>
  <c r="B24" i="2" s="1"/>
  <c r="I76" i="1"/>
  <c r="I32" i="3" l="1"/>
  <c r="B33" i="3" s="1"/>
  <c r="I57" i="3"/>
  <c r="B58" i="3" s="1"/>
  <c r="I26" i="1"/>
  <c r="B27" i="1" s="1"/>
  <c r="I57" i="2"/>
  <c r="B58" i="2" s="1"/>
  <c r="E25" i="2"/>
  <c r="I24" i="2"/>
  <c r="B25" i="2" s="1"/>
  <c r="I77" i="1"/>
  <c r="I33" i="3" l="1"/>
  <c r="B34" i="3" s="1"/>
  <c r="I58" i="3"/>
  <c r="B59" i="3" s="1"/>
  <c r="I27" i="1"/>
  <c r="B28" i="1" s="1"/>
  <c r="I25" i="2"/>
  <c r="B26" i="2" s="1"/>
  <c r="E26" i="2"/>
  <c r="I58" i="2"/>
  <c r="B59" i="2" s="1"/>
  <c r="I78" i="1"/>
  <c r="I34" i="3" l="1"/>
  <c r="B35" i="3" s="1"/>
  <c r="I59" i="3"/>
  <c r="B60" i="3" s="1"/>
  <c r="I28" i="1"/>
  <c r="B29" i="1" s="1"/>
  <c r="I26" i="2"/>
  <c r="B27" i="2" s="1"/>
  <c r="E27" i="2"/>
  <c r="I59" i="2"/>
  <c r="B60" i="2" s="1"/>
  <c r="I80" i="1"/>
  <c r="I79" i="1"/>
  <c r="I41" i="1"/>
  <c r="I60" i="3" l="1"/>
  <c r="B61" i="3" s="1"/>
  <c r="I35" i="3"/>
  <c r="B36" i="3" s="1"/>
  <c r="I29" i="1"/>
  <c r="B30" i="1" s="1"/>
  <c r="I27" i="2"/>
  <c r="B28" i="2" s="1"/>
  <c r="E28" i="2"/>
  <c r="I60" i="2"/>
  <c r="B61" i="2" s="1"/>
  <c r="I42" i="1"/>
  <c r="I61" i="3" l="1"/>
  <c r="B62" i="3" s="1"/>
  <c r="I36" i="3"/>
  <c r="B37" i="3" s="1"/>
  <c r="I30" i="1"/>
  <c r="B31" i="1" s="1"/>
  <c r="E29" i="2"/>
  <c r="I28" i="2"/>
  <c r="B29" i="2" s="1"/>
  <c r="I61" i="2"/>
  <c r="B62" i="2" s="1"/>
  <c r="I43" i="1"/>
  <c r="I62" i="3" l="1"/>
  <c r="B63" i="3" s="1"/>
  <c r="I37" i="3"/>
  <c r="B38" i="3" s="1"/>
  <c r="I31" i="1"/>
  <c r="B32" i="1" s="1"/>
  <c r="I62" i="2"/>
  <c r="B63" i="2" s="1"/>
  <c r="I29" i="2"/>
  <c r="B30" i="2" s="1"/>
  <c r="E30" i="2"/>
  <c r="I44" i="1"/>
  <c r="I38" i="3" l="1"/>
  <c r="B39" i="3" s="1"/>
  <c r="I63" i="3"/>
  <c r="B64" i="3" s="1"/>
  <c r="I32" i="1"/>
  <c r="B33" i="1" s="1"/>
  <c r="I30" i="2"/>
  <c r="B31" i="2" s="1"/>
  <c r="E31" i="2"/>
  <c r="I63" i="2"/>
  <c r="B64" i="2" s="1"/>
  <c r="I45" i="1"/>
  <c r="I40" i="3" l="1"/>
  <c r="B41" i="3" s="1"/>
  <c r="I39" i="3"/>
  <c r="B40" i="3" s="1"/>
  <c r="I64" i="3"/>
  <c r="B65" i="3" s="1"/>
  <c r="I33" i="1"/>
  <c r="B34" i="1" s="1"/>
  <c r="I31" i="2"/>
  <c r="B32" i="2" s="1"/>
  <c r="E32" i="2"/>
  <c r="I64" i="2"/>
  <c r="B65" i="2" s="1"/>
  <c r="I46" i="1"/>
  <c r="I65" i="3" l="1"/>
  <c r="B66" i="3" s="1"/>
  <c r="I34" i="1"/>
  <c r="B35" i="1" s="1"/>
  <c r="I65" i="2"/>
  <c r="B66" i="2" s="1"/>
  <c r="E33" i="2"/>
  <c r="I32" i="2"/>
  <c r="B33" i="2" s="1"/>
  <c r="I47" i="1"/>
  <c r="B42" i="1"/>
  <c r="I66" i="3" l="1"/>
  <c r="B67" i="3" s="1"/>
  <c r="I35" i="1"/>
  <c r="B36" i="1" s="1"/>
  <c r="I66" i="2"/>
  <c r="B67" i="2" s="1"/>
  <c r="I33" i="2"/>
  <c r="B34" i="2" s="1"/>
  <c r="E34" i="2"/>
  <c r="I49" i="1"/>
  <c r="I48" i="1"/>
  <c r="B43" i="1"/>
  <c r="I67" i="3" l="1"/>
  <c r="B68" i="3" s="1"/>
  <c r="I36" i="1"/>
  <c r="B37" i="1" s="1"/>
  <c r="I67" i="2"/>
  <c r="B68" i="2" s="1"/>
  <c r="I34" i="2"/>
  <c r="B35" i="2" s="1"/>
  <c r="E35" i="2"/>
  <c r="B44" i="1"/>
  <c r="I68" i="3" l="1"/>
  <c r="B69" i="3" s="1"/>
  <c r="I37" i="1"/>
  <c r="B38" i="1" s="1"/>
  <c r="I35" i="2"/>
  <c r="B36" i="2" s="1"/>
  <c r="E36" i="2"/>
  <c r="I68" i="2"/>
  <c r="B69" i="2" s="1"/>
  <c r="B45" i="1"/>
  <c r="I69" i="3" l="1"/>
  <c r="B70" i="3" s="1"/>
  <c r="I38" i="1"/>
  <c r="B39" i="1" s="1"/>
  <c r="E37" i="2"/>
  <c r="I36" i="2"/>
  <c r="B37" i="2" s="1"/>
  <c r="I69" i="2"/>
  <c r="B70" i="2" s="1"/>
  <c r="B46" i="1"/>
  <c r="I70" i="3" l="1"/>
  <c r="B71" i="3" s="1"/>
  <c r="I40" i="1"/>
  <c r="B41" i="1" s="1"/>
  <c r="I39" i="1"/>
  <c r="B40" i="1" s="1"/>
  <c r="I70" i="2"/>
  <c r="B71" i="2" s="1"/>
  <c r="I37" i="2"/>
  <c r="B38" i="2" s="1"/>
  <c r="E38" i="2"/>
  <c r="B47" i="1"/>
  <c r="I71" i="3" l="1"/>
  <c r="B72" i="3" s="1"/>
  <c r="I71" i="2"/>
  <c r="B72" i="2" s="1"/>
  <c r="I38" i="2"/>
  <c r="B39" i="2" s="1"/>
  <c r="E39" i="2"/>
  <c r="B48" i="1"/>
  <c r="I72" i="3" l="1"/>
  <c r="B73" i="3" s="1"/>
  <c r="I39" i="2"/>
  <c r="B40" i="2" s="1"/>
  <c r="E40" i="2"/>
  <c r="I40" i="2" s="1"/>
  <c r="B41" i="2" s="1"/>
  <c r="I72" i="2"/>
  <c r="B73" i="2" s="1"/>
  <c r="B49" i="1"/>
  <c r="I73" i="3" l="1"/>
  <c r="B74" i="3" s="1"/>
  <c r="I73" i="2"/>
  <c r="B74" i="2" s="1"/>
  <c r="B50" i="1"/>
  <c r="I74" i="3" l="1"/>
  <c r="B75" i="3" s="1"/>
  <c r="I74" i="2"/>
  <c r="B75" i="2" s="1"/>
  <c r="B51" i="1"/>
  <c r="I75" i="3" l="1"/>
  <c r="B76" i="3" s="1"/>
  <c r="I75" i="2"/>
  <c r="B76" i="2" s="1"/>
  <c r="B52" i="1"/>
  <c r="I76" i="3" l="1"/>
  <c r="B77" i="3" s="1"/>
  <c r="I76" i="2"/>
  <c r="B77" i="2" s="1"/>
  <c r="B53" i="1"/>
  <c r="I77" i="3" l="1"/>
  <c r="B78" i="3" s="1"/>
  <c r="I77" i="2"/>
  <c r="B78" i="2" s="1"/>
  <c r="B54" i="1"/>
  <c r="I78" i="3" l="1"/>
  <c r="B79" i="3" s="1"/>
  <c r="I78" i="2"/>
  <c r="B79" i="2" s="1"/>
  <c r="B55" i="1"/>
  <c r="I79" i="3" l="1"/>
  <c r="B80" i="3" s="1"/>
  <c r="I80" i="3"/>
  <c r="I79" i="2"/>
  <c r="B80" i="2" s="1"/>
  <c r="I80" i="2"/>
  <c r="B56" i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</calcChain>
</file>

<file path=xl/sharedStrings.xml><?xml version="1.0" encoding="utf-8"?>
<sst xmlns="http://schemas.openxmlformats.org/spreadsheetml/2006/main" count="43" uniqueCount="18">
  <si>
    <t>Age</t>
  </si>
  <si>
    <t>401(k) Contribution</t>
  </si>
  <si>
    <t>SOY Balance Sheet</t>
  </si>
  <si>
    <t>Student Loan Drawdown</t>
  </si>
  <si>
    <t>401(k) Accumulation</t>
  </si>
  <si>
    <t>Real Investment Return Assumption</t>
  </si>
  <si>
    <t>Student Loan Balance</t>
  </si>
  <si>
    <t>Student Loan Payment</t>
  </si>
  <si>
    <t>Student Loan Interest Rate</t>
  </si>
  <si>
    <t>Retirement Annual Spending Assumption</t>
  </si>
  <si>
    <t>Reinvested Inheritance</t>
  </si>
  <si>
    <t>Representative Wealth Accumulation by Age : Upper Middle Class</t>
  </si>
  <si>
    <t>Wealth</t>
  </si>
  <si>
    <t>Representative Wealth Accumulation by Age : Lower Upper Class</t>
  </si>
  <si>
    <t>Representative Wealth Accumulation by Age : Upper Class</t>
  </si>
  <si>
    <t>Upper Class</t>
  </si>
  <si>
    <t>Upper Middle Class</t>
  </si>
  <si>
    <t>Lower Upper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</si>
</sst>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165" fontId="2" fillId="0" borderId="0" xfId="2" applyNumberFormat="1" applyFont="1"/>
    <xf numFmtId="10" fontId="2" fillId="0" borderId="0" xfId="2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44" fontId="2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/>
            </a:pPr>
            <a:r>
              <a:rPr lang="en-US" sz="1400" b="0"/>
              <a:t>Representative </a:t>
            </a:r>
            <a:r>
              <a:rPr lang="en-US" sz="1400" b="0">
                <a:solidFill>
                  <a:srgbClr val="C00000"/>
                </a:solidFill>
              </a:rPr>
              <a:t>Upper Middle Class </a:t>
            </a:r>
            <a:r>
              <a:rPr lang="en-US" sz="1400" b="0"/>
              <a:t>Wealth by Age (Real $)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UMC!$I$7</c:f>
              <c:strCache>
                <c:ptCount val="1"/>
                <c:pt idx="0">
                  <c:v>Wealth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UMC!$A$8:$A$80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UMC!$I$8:$I$80</c:f>
              <c:numCache>
                <c:formatCode>_("$"* #,##0_);_("$"* \(#,##0\);_("$"* "-"??_);_(@_)</c:formatCode>
                <c:ptCount val="73"/>
                <c:pt idx="0">
                  <c:v>-31398</c:v>
                </c:pt>
                <c:pt idx="1">
                  <c:v>-64259.146799999995</c:v>
                </c:pt>
                <c:pt idx="2">
                  <c:v>-98651.623040879989</c:v>
                </c:pt>
                <c:pt idx="3">
                  <c:v>-134646.788674585</c:v>
                </c:pt>
                <c:pt idx="4">
                  <c:v>-131690.73962306007</c:v>
                </c:pt>
                <c:pt idx="5">
                  <c:v>-128596.93868573409</c:v>
                </c:pt>
                <c:pt idx="6">
                  <c:v>-165987.55602848929</c:v>
                </c:pt>
                <c:pt idx="7">
                  <c:v>-205120.57613941689</c:v>
                </c:pt>
                <c:pt idx="8">
                  <c:v>-182207.33627890874</c:v>
                </c:pt>
                <c:pt idx="9">
                  <c:v>-158126.9254409009</c:v>
                </c:pt>
                <c:pt idx="10">
                  <c:v>-132819.78392984188</c:v>
                </c:pt>
                <c:pt idx="11">
                  <c:v>-106223.30775291153</c:v>
                </c:pt>
                <c:pt idx="12">
                  <c:v>-73271.6927773645</c:v>
                </c:pt>
                <c:pt idx="13">
                  <c:v>-43635.770898729141</c:v>
                </c:pt>
                <c:pt idx="14">
                  <c:v>-12489.317809769669</c:v>
                </c:pt>
                <c:pt idx="15">
                  <c:v>20244.791100955521</c:v>
                </c:pt>
                <c:pt idx="16">
                  <c:v>54647.624612347405</c:v>
                </c:pt>
                <c:pt idx="17">
                  <c:v>90804.397677319255</c:v>
                </c:pt>
                <c:pt idx="18">
                  <c:v>128804.68378968922</c:v>
                </c:pt>
                <c:pt idx="19">
                  <c:v>168742.63824343975</c:v>
                </c:pt>
                <c:pt idx="20">
                  <c:v>210717.23284372338</c:v>
                </c:pt>
                <c:pt idx="21">
                  <c:v>254832.50265775606</c:v>
                </c:pt>
                <c:pt idx="22">
                  <c:v>301197.80542397802</c:v>
                </c:pt>
                <c:pt idx="23">
                  <c:v>349928.0942696617</c:v>
                </c:pt>
                <c:pt idx="24">
                  <c:v>401144.20442057896</c:v>
                </c:pt>
                <c:pt idx="25">
                  <c:v>454973.15462149488</c:v>
                </c:pt>
                <c:pt idx="26">
                  <c:v>511548.46402322169</c:v>
                </c:pt>
                <c:pt idx="27">
                  <c:v>571010.48533083266</c:v>
                </c:pt>
                <c:pt idx="28">
                  <c:v>633506.75504850538</c:v>
                </c:pt>
                <c:pt idx="29">
                  <c:v>699192.36169943959</c:v>
                </c:pt>
                <c:pt idx="30">
                  <c:v>768230.33294447488</c:v>
                </c:pt>
                <c:pt idx="31">
                  <c:v>840792.04257055314</c:v>
                </c:pt>
                <c:pt idx="32">
                  <c:v>917057.63837012416</c:v>
                </c:pt>
                <c:pt idx="33">
                  <c:v>983154.18966403732</c:v>
                </c:pt>
                <c:pt idx="34">
                  <c:v>1052688.2075265674</c:v>
                </c:pt>
                <c:pt idx="35">
                  <c:v>1125837.9943179488</c:v>
                </c:pt>
                <c:pt idx="36">
                  <c:v>1202791.5700224822</c:v>
                </c:pt>
                <c:pt idx="37">
                  <c:v>1283746.7316636513</c:v>
                </c:pt>
                <c:pt idx="38">
                  <c:v>1368911.5617101612</c:v>
                </c:pt>
                <c:pt idx="39">
                  <c:v>1458504.9629190897</c:v>
                </c:pt>
                <c:pt idx="40">
                  <c:v>1552757.2209908827</c:v>
                </c:pt>
                <c:pt idx="41">
                  <c:v>1651910.5964824085</c:v>
                </c:pt>
                <c:pt idx="42">
                  <c:v>1966619.9474994938</c:v>
                </c:pt>
                <c:pt idx="43">
                  <c:v>2087294.1847694675</c:v>
                </c:pt>
                <c:pt idx="44">
                  <c:v>2214243.4823774802</c:v>
                </c:pt>
                <c:pt idx="45">
                  <c:v>2347794.1434611091</c:v>
                </c:pt>
                <c:pt idx="46">
                  <c:v>2488289.4389210865</c:v>
                </c:pt>
                <c:pt idx="47">
                  <c:v>2636090.4897449836</c:v>
                </c:pt>
                <c:pt idx="48">
                  <c:v>2791577.1952117225</c:v>
                </c:pt>
                <c:pt idx="49">
                  <c:v>2736859.2093627322</c:v>
                </c:pt>
                <c:pt idx="50">
                  <c:v>2679295.8882495947</c:v>
                </c:pt>
                <c:pt idx="51">
                  <c:v>2618739.2744385735</c:v>
                </c:pt>
                <c:pt idx="52">
                  <c:v>2555033.7167093796</c:v>
                </c:pt>
                <c:pt idx="53">
                  <c:v>2488015.4699782673</c:v>
                </c:pt>
                <c:pt idx="54">
                  <c:v>2417512.2744171373</c:v>
                </c:pt>
                <c:pt idx="55">
                  <c:v>2343342.9126868285</c:v>
                </c:pt>
                <c:pt idx="56">
                  <c:v>2265316.7441465436</c:v>
                </c:pt>
                <c:pt idx="57">
                  <c:v>2183233.214842164</c:v>
                </c:pt>
                <c:pt idx="58">
                  <c:v>2096881.3420139565</c:v>
                </c:pt>
                <c:pt idx="59">
                  <c:v>2006039.1717986823</c:v>
                </c:pt>
                <c:pt idx="60">
                  <c:v>1910473.2087322136</c:v>
                </c:pt>
                <c:pt idx="61">
                  <c:v>1809937.8155862887</c:v>
                </c:pt>
                <c:pt idx="62">
                  <c:v>1704174.5819967757</c:v>
                </c:pt>
                <c:pt idx="63">
                  <c:v>1592911.6602606082</c:v>
                </c:pt>
                <c:pt idx="64">
                  <c:v>1475863.0665941597</c:v>
                </c:pt>
                <c:pt idx="65">
                  <c:v>1352727.9460570561</c:v>
                </c:pt>
                <c:pt idx="66">
                  <c:v>1223189.799252023</c:v>
                </c:pt>
                <c:pt idx="67">
                  <c:v>887035.66881312826</c:v>
                </c:pt>
                <c:pt idx="68">
                  <c:v>733281.52359141095</c:v>
                </c:pt>
                <c:pt idx="69">
                  <c:v>571532.16281816445</c:v>
                </c:pt>
                <c:pt idx="70">
                  <c:v>401371.83528470894</c:v>
                </c:pt>
                <c:pt idx="71">
                  <c:v>222363.17071951384</c:v>
                </c:pt>
                <c:pt idx="72">
                  <c:v>32363.17071951383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92896"/>
        <c:axId val="108175744"/>
      </c:scatterChart>
      <c:valAx>
        <c:axId val="6099289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in"/>
        <c:tickLblPos val="nextTo"/>
        <c:crossAx val="108175744"/>
        <c:crosses val="autoZero"/>
        <c:crossBetween val="midCat"/>
        <c:majorUnit val="5"/>
      </c:valAx>
      <c:valAx>
        <c:axId val="10817574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in"/>
        <c:tickLblPos val="nextTo"/>
        <c:crossAx val="60992896"/>
        <c:crosses val="autoZero"/>
        <c:crossBetween val="midCat"/>
        <c:majorUnit val="500000"/>
        <c:minorUnit val="100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Gill Sans MT" panose="020B0502020104020203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Representative </a:t>
            </a:r>
            <a:r>
              <a:rPr lang="en-US" sz="1400" b="0">
                <a:solidFill>
                  <a:srgbClr val="00B050"/>
                </a:solidFill>
              </a:rPr>
              <a:t>Lower Upper Class</a:t>
            </a:r>
            <a:r>
              <a:rPr lang="en-US" sz="1400" b="0"/>
              <a:t> Wealth by Age (Real $)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LUC!$I$7</c:f>
              <c:strCache>
                <c:ptCount val="1"/>
                <c:pt idx="0">
                  <c:v>Wealth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LUC!$A$8:$A$80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LUC!$I$8:$I$80</c:f>
              <c:numCache>
                <c:formatCode>_("$"* #,##0_);_("$"* \(#,##0\);_("$"* "-"??_);_(@_)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-31398</c:v>
                </c:pt>
                <c:pt idx="7">
                  <c:v>-64259.146799999995</c:v>
                </c:pt>
                <c:pt idx="8">
                  <c:v>-44438.400507829065</c:v>
                </c:pt>
                <c:pt idx="9">
                  <c:v>-23594.593438442964</c:v>
                </c:pt>
                <c:pt idx="10">
                  <c:v>-1674.8814316234711</c:v>
                </c:pt>
                <c:pt idx="11">
                  <c:v>21376.311026169809</c:v>
                </c:pt>
                <c:pt idx="12">
                  <c:v>95617.432061267973</c:v>
                </c:pt>
                <c:pt idx="13">
                  <c:v>123709.95098182955</c:v>
                </c:pt>
                <c:pt idx="14">
                  <c:v>153253.71453486901</c:v>
                </c:pt>
                <c:pt idx="15">
                  <c:v>184323.74164930033</c:v>
                </c:pt>
                <c:pt idx="16">
                  <c:v>216998.93146443501</c:v>
                </c:pt>
                <c:pt idx="17">
                  <c:v>251362.26413285878</c:v>
                </c:pt>
                <c:pt idx="18">
                  <c:v>287501.01201994583</c:v>
                </c:pt>
                <c:pt idx="19">
                  <c:v>325506.96183853433</c:v>
                </c:pt>
                <c:pt idx="20">
                  <c:v>365476.64828519023</c:v>
                </c:pt>
                <c:pt idx="21">
                  <c:v>407511.59977384063</c:v>
                </c:pt>
                <c:pt idx="22">
                  <c:v>451718.59689342859</c:v>
                </c:pt>
                <c:pt idx="23">
                  <c:v>498209.94424871734</c:v>
                </c:pt>
                <c:pt idx="24">
                  <c:v>547103.75637752679</c:v>
                </c:pt>
                <c:pt idx="25">
                  <c:v>598524.25847361458</c:v>
                </c:pt>
                <c:pt idx="26">
                  <c:v>652602.1026822041</c:v>
                </c:pt>
                <c:pt idx="27">
                  <c:v>709474.70077490853</c:v>
                </c:pt>
                <c:pt idx="28">
                  <c:v>769286.57405261567</c:v>
                </c:pt>
                <c:pt idx="29">
                  <c:v>832189.72136886814</c:v>
                </c:pt>
                <c:pt idx="30">
                  <c:v>898344.0062125402</c:v>
                </c:pt>
                <c:pt idx="31">
                  <c:v>967917.56383725861</c:v>
                </c:pt>
                <c:pt idx="32">
                  <c:v>1041087.2294762013</c:v>
                </c:pt>
                <c:pt idx="33">
                  <c:v>1113633.9198425638</c:v>
                </c:pt>
                <c:pt idx="34">
                  <c:v>1189952.8836743773</c:v>
                </c:pt>
                <c:pt idx="35">
                  <c:v>1270240.4336254448</c:v>
                </c:pt>
                <c:pt idx="36">
                  <c:v>1354702.936173968</c:v>
                </c:pt>
                <c:pt idx="37">
                  <c:v>1443557.4888550146</c:v>
                </c:pt>
                <c:pt idx="38">
                  <c:v>1537032.4782754753</c:v>
                </c:pt>
                <c:pt idx="39">
                  <c:v>1635368.1671458001</c:v>
                </c:pt>
                <c:pt idx="40">
                  <c:v>1738817.3118373819</c:v>
                </c:pt>
                <c:pt idx="41">
                  <c:v>1847645.8120529258</c:v>
                </c:pt>
                <c:pt idx="42">
                  <c:v>3014133.3942796784</c:v>
                </c:pt>
                <c:pt idx="43">
                  <c:v>3189278.3307822216</c:v>
                </c:pt>
                <c:pt idx="44">
                  <c:v>3373530.8039828977</c:v>
                </c:pt>
                <c:pt idx="45">
                  <c:v>3567364.4057900081</c:v>
                </c:pt>
                <c:pt idx="46">
                  <c:v>3771277.3548910888</c:v>
                </c:pt>
                <c:pt idx="47">
                  <c:v>3985793.7773454254</c:v>
                </c:pt>
                <c:pt idx="48">
                  <c:v>3982655.0537673878</c:v>
                </c:pt>
                <c:pt idx="49">
                  <c:v>3979353.1165632922</c:v>
                </c:pt>
                <c:pt idx="50">
                  <c:v>3975879.4786245832</c:v>
                </c:pt>
                <c:pt idx="51">
                  <c:v>3972225.211513062</c:v>
                </c:pt>
                <c:pt idx="52">
                  <c:v>3968380.9225117415</c:v>
                </c:pt>
                <c:pt idx="53">
                  <c:v>3964336.7304823524</c:v>
                </c:pt>
                <c:pt idx="54">
                  <c:v>3960082.2404674347</c:v>
                </c:pt>
                <c:pt idx="55">
                  <c:v>3955606.5169717418</c:v>
                </c:pt>
                <c:pt idx="56">
                  <c:v>3950898.0558542721</c:v>
                </c:pt>
                <c:pt idx="57">
                  <c:v>3945944.7547586951</c:v>
                </c:pt>
                <c:pt idx="58">
                  <c:v>3940733.8820061469</c:v>
                </c:pt>
                <c:pt idx="59">
                  <c:v>3935252.0438704668</c:v>
                </c:pt>
                <c:pt idx="60">
                  <c:v>3929485.150151731</c:v>
                </c:pt>
                <c:pt idx="61">
                  <c:v>3923418.3779596211</c:v>
                </c:pt>
                <c:pt idx="62">
                  <c:v>3917036.1336135212</c:v>
                </c:pt>
                <c:pt idx="63">
                  <c:v>3910322.0125614246</c:v>
                </c:pt>
                <c:pt idx="64">
                  <c:v>3903258.7572146188</c:v>
                </c:pt>
                <c:pt idx="65">
                  <c:v>3895828.2125897789</c:v>
                </c:pt>
                <c:pt idx="66">
                  <c:v>3888011.2796444478</c:v>
                </c:pt>
                <c:pt idx="67">
                  <c:v>3879787.8661859594</c:v>
                </c:pt>
                <c:pt idx="68">
                  <c:v>3871136.8352276292</c:v>
                </c:pt>
                <c:pt idx="69">
                  <c:v>3862035.950659466</c:v>
                </c:pt>
                <c:pt idx="70">
                  <c:v>3852461.8200937584</c:v>
                </c:pt>
                <c:pt idx="71">
                  <c:v>3842389.8347386341</c:v>
                </c:pt>
                <c:pt idx="72">
                  <c:v>3831794.1061450429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94976"/>
        <c:axId val="54896896"/>
      </c:scatterChart>
      <c:valAx>
        <c:axId val="54894976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in"/>
        <c:tickLblPos val="nextTo"/>
        <c:spPr>
          <a:noFill/>
        </c:spPr>
        <c:crossAx val="54896896"/>
        <c:crosses val="autoZero"/>
        <c:crossBetween val="midCat"/>
        <c:majorUnit val="5"/>
      </c:valAx>
      <c:valAx>
        <c:axId val="54896896"/>
        <c:scaling>
          <c:orientation val="minMax"/>
          <c:max val="4100000"/>
          <c:min val="-25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in"/>
        <c:tickLblPos val="nextTo"/>
        <c:crossAx val="54894976"/>
        <c:crosses val="autoZero"/>
        <c:crossBetween val="midCat"/>
        <c:majorUnit val="500000"/>
        <c:minorUnit val="100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Gill Sans MT" panose="020B0502020104020203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n-US" sz="1400" b="0" i="0" baseline="0">
                <a:effectLst/>
                <a:latin typeface="Gill Sans MT" panose="020B0502020104020203" pitchFamily="34" charset="0"/>
              </a:rPr>
              <a:t>Representative </a:t>
            </a:r>
            <a:r>
              <a:rPr lang="en-US" sz="1400" b="0" i="0" baseline="0">
                <a:solidFill>
                  <a:srgbClr val="0070C0"/>
                </a:solidFill>
                <a:effectLst/>
                <a:latin typeface="Gill Sans MT" panose="020B0502020104020203" pitchFamily="34" charset="0"/>
              </a:rPr>
              <a:t>Upper Class </a:t>
            </a:r>
            <a:r>
              <a:rPr lang="en-US" sz="1400" b="0" i="0" baseline="0">
                <a:effectLst/>
                <a:latin typeface="Gill Sans MT" panose="020B0502020104020203" pitchFamily="34" charset="0"/>
              </a:rPr>
              <a:t>Wealth by Age (Real $)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UC!$I$7</c:f>
              <c:strCache>
                <c:ptCount val="1"/>
                <c:pt idx="0">
                  <c:v>Wealth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UC!$A$8:$A$80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UC!$I$8:$I$80</c:f>
              <c:numCache>
                <c:formatCode>_("$"* #,##0_);_("$"* \(#,##0\);_("$"* "-"??_);_(@_)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18410</c:v>
                </c:pt>
                <c:pt idx="9">
                  <c:v>37777.32</c:v>
                </c:pt>
                <c:pt idx="10">
                  <c:v>58151.740640000004</c:v>
                </c:pt>
                <c:pt idx="11">
                  <c:v>79585.631153280003</c:v>
                </c:pt>
                <c:pt idx="12">
                  <c:v>152134.08397325058</c:v>
                </c:pt>
                <c:pt idx="13">
                  <c:v>178455.05633985961</c:v>
                </c:pt>
                <c:pt idx="14">
                  <c:v>206144.71926953233</c:v>
                </c:pt>
                <c:pt idx="15">
                  <c:v>235274.24467154802</c:v>
                </c:pt>
                <c:pt idx="16">
                  <c:v>265918.50539446855</c:v>
                </c:pt>
                <c:pt idx="17">
                  <c:v>298156.26767498092</c:v>
                </c:pt>
                <c:pt idx="18">
                  <c:v>332070.39359407994</c:v>
                </c:pt>
                <c:pt idx="19">
                  <c:v>367748.05406097218</c:v>
                </c:pt>
                <c:pt idx="20">
                  <c:v>405280.95287214272</c:v>
                </c:pt>
                <c:pt idx="21">
                  <c:v>444765.56242149416</c:v>
                </c:pt>
                <c:pt idx="22">
                  <c:v>486303.37166741188</c:v>
                </c:pt>
                <c:pt idx="23">
                  <c:v>530001.1469941173</c:v>
                </c:pt>
                <c:pt idx="24">
                  <c:v>575971.20663781138</c:v>
                </c:pt>
                <c:pt idx="25">
                  <c:v>624331.70938297757</c:v>
                </c:pt>
                <c:pt idx="26">
                  <c:v>675206.9582708925</c:v>
                </c:pt>
                <c:pt idx="27">
                  <c:v>728727.72010097886</c:v>
                </c:pt>
                <c:pt idx="28">
                  <c:v>785031.56154622987</c:v>
                </c:pt>
                <c:pt idx="29">
                  <c:v>844263.20274663391</c:v>
                </c:pt>
                <c:pt idx="30">
                  <c:v>906574.88928945886</c:v>
                </c:pt>
                <c:pt idx="31">
                  <c:v>972126.78353251074</c:v>
                </c:pt>
                <c:pt idx="32">
                  <c:v>1041087.3762762013</c:v>
                </c:pt>
                <c:pt idx="33">
                  <c:v>1113633.9198425638</c:v>
                </c:pt>
                <c:pt idx="34">
                  <c:v>1189952.8836743773</c:v>
                </c:pt>
                <c:pt idx="35">
                  <c:v>1270240.4336254448</c:v>
                </c:pt>
                <c:pt idx="36">
                  <c:v>1354702.936173968</c:v>
                </c:pt>
                <c:pt idx="37">
                  <c:v>1443557.4888550146</c:v>
                </c:pt>
                <c:pt idx="38">
                  <c:v>1537032.4782754753</c:v>
                </c:pt>
                <c:pt idx="39">
                  <c:v>1635368.1671458001</c:v>
                </c:pt>
                <c:pt idx="40">
                  <c:v>1738817.3118373819</c:v>
                </c:pt>
                <c:pt idx="41">
                  <c:v>1847645.8120529258</c:v>
                </c:pt>
                <c:pt idx="42">
                  <c:v>7222133.3942796774</c:v>
                </c:pt>
                <c:pt idx="43">
                  <c:v>7300494.3307822207</c:v>
                </c:pt>
                <c:pt idx="44">
                  <c:v>7364520.0359828966</c:v>
                </c:pt>
                <c:pt idx="45">
                  <c:v>7431875.0778540075</c:v>
                </c:pt>
                <c:pt idx="46">
                  <c:v>7502732.5819024164</c:v>
                </c:pt>
                <c:pt idx="47">
                  <c:v>7577274.6761613414</c:v>
                </c:pt>
                <c:pt idx="48">
                  <c:v>7655692.9593217317</c:v>
                </c:pt>
                <c:pt idx="49">
                  <c:v>7738188.9932064619</c:v>
                </c:pt>
                <c:pt idx="50">
                  <c:v>7824974.8208531979</c:v>
                </c:pt>
                <c:pt idx="51">
                  <c:v>7916273.5115375649</c:v>
                </c:pt>
                <c:pt idx="52">
                  <c:v>8012319.7341375193</c:v>
                </c:pt>
                <c:pt idx="53">
                  <c:v>8113360.3603126705</c:v>
                </c:pt>
                <c:pt idx="54">
                  <c:v>8219655.0990489293</c:v>
                </c:pt>
                <c:pt idx="55">
                  <c:v>8331477.1641994733</c:v>
                </c:pt>
                <c:pt idx="56">
                  <c:v>8449113.9767378457</c:v>
                </c:pt>
                <c:pt idx="57">
                  <c:v>8572867.9035282154</c:v>
                </c:pt>
                <c:pt idx="58">
                  <c:v>8703057.0345116816</c:v>
                </c:pt>
                <c:pt idx="59">
                  <c:v>8840016.0003062896</c:v>
                </c:pt>
                <c:pt idx="60">
                  <c:v>8984096.8323222175</c:v>
                </c:pt>
                <c:pt idx="61">
                  <c:v>9135669.8676029742</c:v>
                </c:pt>
                <c:pt idx="62">
                  <c:v>9295124.7007183284</c:v>
                </c:pt>
                <c:pt idx="63">
                  <c:v>9462871.1851556823</c:v>
                </c:pt>
                <c:pt idx="64">
                  <c:v>9639340.4867837783</c:v>
                </c:pt>
                <c:pt idx="65">
                  <c:v>9824986.1920965351</c:v>
                </c:pt>
                <c:pt idx="66">
                  <c:v>10020285.474085556</c:v>
                </c:pt>
                <c:pt idx="67">
                  <c:v>10225740.318738006</c:v>
                </c:pt>
                <c:pt idx="68">
                  <c:v>10441878.815312382</c:v>
                </c:pt>
                <c:pt idx="69">
                  <c:v>10669256.513708627</c:v>
                </c:pt>
                <c:pt idx="70">
                  <c:v>10908457.852421476</c:v>
                </c:pt>
                <c:pt idx="71">
                  <c:v>11160097.660747392</c:v>
                </c:pt>
                <c:pt idx="72">
                  <c:v>11424822.739106257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20128"/>
        <c:axId val="138350592"/>
      </c:scatterChart>
      <c:valAx>
        <c:axId val="138320128"/>
        <c:scaling>
          <c:orientation val="minMax"/>
          <c:min val="15"/>
        </c:scaling>
        <c:delete val="0"/>
        <c:axPos val="b"/>
        <c:numFmt formatCode="General" sourceLinked="1"/>
        <c:majorTickMark val="out"/>
        <c:minorTickMark val="in"/>
        <c:tickLblPos val="nextTo"/>
        <c:crossAx val="138350592"/>
        <c:crosses val="autoZero"/>
        <c:crossBetween val="midCat"/>
        <c:majorUnit val="5"/>
        <c:minorUnit val="1"/>
      </c:valAx>
      <c:valAx>
        <c:axId val="138350592"/>
        <c:scaling>
          <c:orientation val="minMax"/>
          <c:max val="11700000"/>
          <c:min val="-5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in"/>
        <c:tickLblPos val="nextTo"/>
        <c:txPr>
          <a:bodyPr/>
          <a:lstStyle/>
          <a:p>
            <a:pPr>
              <a:defRPr>
                <a:latin typeface="Gill Sans MT" panose="020B0502020104020203" pitchFamily="34" charset="0"/>
              </a:defRPr>
            </a:pPr>
            <a:endParaRPr lang="en-US"/>
          </a:p>
        </c:txPr>
        <c:crossAx val="138320128"/>
        <c:crosses val="autoZero"/>
        <c:crossBetween val="midCat"/>
        <c:majorUnit val="1000000"/>
        <c:minorUnit val="20000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Representative</a:t>
            </a:r>
            <a:r>
              <a:rPr lang="en-US" sz="1400" b="0" baseline="0"/>
              <a:t> Wealth by Age by Class (Real $)</a:t>
            </a:r>
            <a:endParaRPr lang="en-US" sz="1400" b="0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Composite!$B$1</c:f>
              <c:strCache>
                <c:ptCount val="1"/>
                <c:pt idx="0">
                  <c:v>Upper Class</c:v>
                </c:pt>
              </c:strCache>
            </c:strRef>
          </c:tx>
          <c:spPr>
            <a:ln w="44450"/>
          </c:spPr>
          <c:marker>
            <c:symbol val="none"/>
          </c:marker>
          <c:xVal>
            <c:numRef>
              <c:f>Composite!$A$2:$A$74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Composite!$B$2:$B$74</c:f>
              <c:numCache>
                <c:formatCode>_("$"* #,##0_);_("$"* \(#,##0\);_("$"* "-"??_);_(@_)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18410</c:v>
                </c:pt>
                <c:pt idx="9">
                  <c:v>37777.32</c:v>
                </c:pt>
                <c:pt idx="10">
                  <c:v>58151.740640000004</c:v>
                </c:pt>
                <c:pt idx="11">
                  <c:v>79585.631153280003</c:v>
                </c:pt>
                <c:pt idx="12">
                  <c:v>152134.08397325058</c:v>
                </c:pt>
                <c:pt idx="13">
                  <c:v>178455.05633985961</c:v>
                </c:pt>
                <c:pt idx="14">
                  <c:v>206144.71926953233</c:v>
                </c:pt>
                <c:pt idx="15">
                  <c:v>235274.24467154802</c:v>
                </c:pt>
                <c:pt idx="16">
                  <c:v>265918.50539446855</c:v>
                </c:pt>
                <c:pt idx="17">
                  <c:v>298156.26767498092</c:v>
                </c:pt>
                <c:pt idx="18">
                  <c:v>332070.39359407994</c:v>
                </c:pt>
                <c:pt idx="19">
                  <c:v>367748.05406097218</c:v>
                </c:pt>
                <c:pt idx="20">
                  <c:v>405280.95287214272</c:v>
                </c:pt>
                <c:pt idx="21">
                  <c:v>444765.56242149416</c:v>
                </c:pt>
                <c:pt idx="22">
                  <c:v>486303.37166741188</c:v>
                </c:pt>
                <c:pt idx="23">
                  <c:v>530001.1469941173</c:v>
                </c:pt>
                <c:pt idx="24">
                  <c:v>575971.20663781138</c:v>
                </c:pt>
                <c:pt idx="25">
                  <c:v>624331.70938297757</c:v>
                </c:pt>
                <c:pt idx="26">
                  <c:v>675206.9582708925</c:v>
                </c:pt>
                <c:pt idx="27">
                  <c:v>728727.72010097886</c:v>
                </c:pt>
                <c:pt idx="28">
                  <c:v>785031.56154622987</c:v>
                </c:pt>
                <c:pt idx="29">
                  <c:v>844263.20274663391</c:v>
                </c:pt>
                <c:pt idx="30">
                  <c:v>906574.88928945886</c:v>
                </c:pt>
                <c:pt idx="31">
                  <c:v>972126.78353251074</c:v>
                </c:pt>
                <c:pt idx="32">
                  <c:v>1041087.3762762013</c:v>
                </c:pt>
                <c:pt idx="33">
                  <c:v>1113633.9198425638</c:v>
                </c:pt>
                <c:pt idx="34">
                  <c:v>1189952.8836743773</c:v>
                </c:pt>
                <c:pt idx="35">
                  <c:v>1270240.4336254448</c:v>
                </c:pt>
                <c:pt idx="36">
                  <c:v>1354702.936173968</c:v>
                </c:pt>
                <c:pt idx="37">
                  <c:v>1443557.4888550146</c:v>
                </c:pt>
                <c:pt idx="38">
                  <c:v>1537032.4782754753</c:v>
                </c:pt>
                <c:pt idx="39">
                  <c:v>1635368.1671458001</c:v>
                </c:pt>
                <c:pt idx="40">
                  <c:v>1738817.3118373819</c:v>
                </c:pt>
                <c:pt idx="41">
                  <c:v>1847645.8120529258</c:v>
                </c:pt>
                <c:pt idx="42">
                  <c:v>7222133.3942796774</c:v>
                </c:pt>
                <c:pt idx="43">
                  <c:v>7300494.3307822207</c:v>
                </c:pt>
                <c:pt idx="44">
                  <c:v>7364520.0359828966</c:v>
                </c:pt>
                <c:pt idx="45">
                  <c:v>7431875.0778540075</c:v>
                </c:pt>
                <c:pt idx="46">
                  <c:v>7502732.5819024164</c:v>
                </c:pt>
                <c:pt idx="47">
                  <c:v>7577274.6761613414</c:v>
                </c:pt>
                <c:pt idx="48">
                  <c:v>7655692.9593217317</c:v>
                </c:pt>
                <c:pt idx="49">
                  <c:v>7738188.9932064619</c:v>
                </c:pt>
                <c:pt idx="50">
                  <c:v>7824974.8208531979</c:v>
                </c:pt>
                <c:pt idx="51">
                  <c:v>7916273.5115375649</c:v>
                </c:pt>
                <c:pt idx="52">
                  <c:v>8012319.7341375193</c:v>
                </c:pt>
                <c:pt idx="53">
                  <c:v>8113360.3603126705</c:v>
                </c:pt>
                <c:pt idx="54">
                  <c:v>8219655.0990489293</c:v>
                </c:pt>
                <c:pt idx="55">
                  <c:v>8331477.1641994733</c:v>
                </c:pt>
                <c:pt idx="56">
                  <c:v>8449113.9767378457</c:v>
                </c:pt>
                <c:pt idx="57">
                  <c:v>8572867.9035282154</c:v>
                </c:pt>
                <c:pt idx="58">
                  <c:v>8703057.0345116816</c:v>
                </c:pt>
                <c:pt idx="59">
                  <c:v>8840016.0003062896</c:v>
                </c:pt>
                <c:pt idx="60">
                  <c:v>8984096.8323222175</c:v>
                </c:pt>
                <c:pt idx="61">
                  <c:v>9135669.8676029742</c:v>
                </c:pt>
                <c:pt idx="62">
                  <c:v>9295124.7007183284</c:v>
                </c:pt>
                <c:pt idx="63">
                  <c:v>9462871.1851556823</c:v>
                </c:pt>
                <c:pt idx="64">
                  <c:v>9639340.4867837783</c:v>
                </c:pt>
                <c:pt idx="65">
                  <c:v>9824986.1920965351</c:v>
                </c:pt>
                <c:pt idx="66">
                  <c:v>10020285.474085556</c:v>
                </c:pt>
                <c:pt idx="67">
                  <c:v>10225740.318738006</c:v>
                </c:pt>
                <c:pt idx="68">
                  <c:v>10441878.815312382</c:v>
                </c:pt>
                <c:pt idx="69">
                  <c:v>10669256.513708627</c:v>
                </c:pt>
                <c:pt idx="70">
                  <c:v>10908457.852421476</c:v>
                </c:pt>
                <c:pt idx="71">
                  <c:v>11160097.660747392</c:v>
                </c:pt>
                <c:pt idx="72">
                  <c:v>11424822.739106257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Composite!$C$1</c:f>
              <c:strCache>
                <c:ptCount val="1"/>
                <c:pt idx="0">
                  <c:v>Lower Upper Class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Composite!$A$2:$A$74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Composite!$C$2:$C$74</c:f>
              <c:numCache>
                <c:formatCode>_("$"* #,##0_);_("$"* \(#,##0\);_("$"* "-"??_);_(@_)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-31398</c:v>
                </c:pt>
                <c:pt idx="7">
                  <c:v>-64259.146799999995</c:v>
                </c:pt>
                <c:pt idx="8">
                  <c:v>-44438.400507829065</c:v>
                </c:pt>
                <c:pt idx="9">
                  <c:v>-23594.593438442964</c:v>
                </c:pt>
                <c:pt idx="10">
                  <c:v>-1674.8814316234711</c:v>
                </c:pt>
                <c:pt idx="11">
                  <c:v>21376.311026169809</c:v>
                </c:pt>
                <c:pt idx="12">
                  <c:v>95617.432061267973</c:v>
                </c:pt>
                <c:pt idx="13">
                  <c:v>123709.95098182955</c:v>
                </c:pt>
                <c:pt idx="14">
                  <c:v>153253.71453486901</c:v>
                </c:pt>
                <c:pt idx="15">
                  <c:v>184323.74164930033</c:v>
                </c:pt>
                <c:pt idx="16">
                  <c:v>216998.93146443501</c:v>
                </c:pt>
                <c:pt idx="17">
                  <c:v>251362.26413285878</c:v>
                </c:pt>
                <c:pt idx="18">
                  <c:v>287501.01201994583</c:v>
                </c:pt>
                <c:pt idx="19">
                  <c:v>325506.96183853433</c:v>
                </c:pt>
                <c:pt idx="20">
                  <c:v>365476.64828519023</c:v>
                </c:pt>
                <c:pt idx="21">
                  <c:v>407511.59977384063</c:v>
                </c:pt>
                <c:pt idx="22">
                  <c:v>451718.59689342859</c:v>
                </c:pt>
                <c:pt idx="23">
                  <c:v>498209.94424871734</c:v>
                </c:pt>
                <c:pt idx="24">
                  <c:v>547103.75637752679</c:v>
                </c:pt>
                <c:pt idx="25">
                  <c:v>598524.25847361458</c:v>
                </c:pt>
                <c:pt idx="26">
                  <c:v>652602.1026822041</c:v>
                </c:pt>
                <c:pt idx="27">
                  <c:v>709474.70077490853</c:v>
                </c:pt>
                <c:pt idx="28">
                  <c:v>769286.57405261567</c:v>
                </c:pt>
                <c:pt idx="29">
                  <c:v>832189.72136886814</c:v>
                </c:pt>
                <c:pt idx="30">
                  <c:v>898344.0062125402</c:v>
                </c:pt>
                <c:pt idx="31">
                  <c:v>967917.56383725861</c:v>
                </c:pt>
                <c:pt idx="32">
                  <c:v>1041087.2294762013</c:v>
                </c:pt>
                <c:pt idx="33">
                  <c:v>1113633.9198425638</c:v>
                </c:pt>
                <c:pt idx="34">
                  <c:v>1189952.8836743773</c:v>
                </c:pt>
                <c:pt idx="35">
                  <c:v>1270240.4336254448</c:v>
                </c:pt>
                <c:pt idx="36">
                  <c:v>1354702.936173968</c:v>
                </c:pt>
                <c:pt idx="37">
                  <c:v>1443557.4888550146</c:v>
                </c:pt>
                <c:pt idx="38">
                  <c:v>1537032.4782754753</c:v>
                </c:pt>
                <c:pt idx="39">
                  <c:v>1635368.1671458001</c:v>
                </c:pt>
                <c:pt idx="40">
                  <c:v>1738817.3118373819</c:v>
                </c:pt>
                <c:pt idx="41">
                  <c:v>1847645.8120529258</c:v>
                </c:pt>
                <c:pt idx="42">
                  <c:v>3014133.3942796784</c:v>
                </c:pt>
                <c:pt idx="43">
                  <c:v>3189278.3307822216</c:v>
                </c:pt>
                <c:pt idx="44">
                  <c:v>3373530.8039828977</c:v>
                </c:pt>
                <c:pt idx="45">
                  <c:v>3567364.4057900081</c:v>
                </c:pt>
                <c:pt idx="46">
                  <c:v>3771277.3548910888</c:v>
                </c:pt>
                <c:pt idx="47">
                  <c:v>3985793.7773454254</c:v>
                </c:pt>
                <c:pt idx="48">
                  <c:v>3982655.0537673878</c:v>
                </c:pt>
                <c:pt idx="49">
                  <c:v>3979353.1165632922</c:v>
                </c:pt>
                <c:pt idx="50">
                  <c:v>3975879.4786245832</c:v>
                </c:pt>
                <c:pt idx="51">
                  <c:v>3972225.211513062</c:v>
                </c:pt>
                <c:pt idx="52">
                  <c:v>3968380.9225117415</c:v>
                </c:pt>
                <c:pt idx="53">
                  <c:v>3964336.7304823524</c:v>
                </c:pt>
                <c:pt idx="54">
                  <c:v>3960082.2404674347</c:v>
                </c:pt>
                <c:pt idx="55">
                  <c:v>3955606.5169717418</c:v>
                </c:pt>
                <c:pt idx="56">
                  <c:v>3950898.0558542721</c:v>
                </c:pt>
                <c:pt idx="57">
                  <c:v>3945944.7547586951</c:v>
                </c:pt>
                <c:pt idx="58">
                  <c:v>3940733.8820061469</c:v>
                </c:pt>
                <c:pt idx="59">
                  <c:v>3935252.0438704668</c:v>
                </c:pt>
                <c:pt idx="60">
                  <c:v>3929485.150151731</c:v>
                </c:pt>
                <c:pt idx="61">
                  <c:v>3923418.3779596211</c:v>
                </c:pt>
                <c:pt idx="62">
                  <c:v>3917036.1336135212</c:v>
                </c:pt>
                <c:pt idx="63">
                  <c:v>3910322.0125614246</c:v>
                </c:pt>
                <c:pt idx="64">
                  <c:v>3903258.7572146188</c:v>
                </c:pt>
                <c:pt idx="65">
                  <c:v>3895828.2125897789</c:v>
                </c:pt>
                <c:pt idx="66">
                  <c:v>3888011.2796444478</c:v>
                </c:pt>
                <c:pt idx="67">
                  <c:v>3879787.8661859594</c:v>
                </c:pt>
                <c:pt idx="68">
                  <c:v>3871136.8352276292</c:v>
                </c:pt>
                <c:pt idx="69">
                  <c:v>3862035.950659466</c:v>
                </c:pt>
                <c:pt idx="70">
                  <c:v>3852461.8200937584</c:v>
                </c:pt>
                <c:pt idx="71">
                  <c:v>3842389.8347386341</c:v>
                </c:pt>
                <c:pt idx="72">
                  <c:v>3831794.1061450429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Composite!$D$1</c:f>
              <c:strCache>
                <c:ptCount val="1"/>
                <c:pt idx="0">
                  <c:v>Upper Middle Class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Composite!$A$2:$A$74</c:f>
              <c:numCache>
                <c:formatCode>General</c:formatCode>
                <c:ptCount val="7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</c:numCache>
            </c:numRef>
          </c:xVal>
          <c:yVal>
            <c:numRef>
              <c:f>Composite!$D$2:$D$74</c:f>
              <c:numCache>
                <c:formatCode>_("$"* #,##0_);_("$"* \(#,##0\);_("$"* "-"??_);_(@_)</c:formatCode>
                <c:ptCount val="73"/>
                <c:pt idx="0">
                  <c:v>-31398</c:v>
                </c:pt>
                <c:pt idx="1">
                  <c:v>-64259.146799999995</c:v>
                </c:pt>
                <c:pt idx="2">
                  <c:v>-98651.623040879989</c:v>
                </c:pt>
                <c:pt idx="3">
                  <c:v>-134646.788674585</c:v>
                </c:pt>
                <c:pt idx="4">
                  <c:v>-131690.73962306007</c:v>
                </c:pt>
                <c:pt idx="5">
                  <c:v>-128596.93868573409</c:v>
                </c:pt>
                <c:pt idx="6">
                  <c:v>-165987.55602848929</c:v>
                </c:pt>
                <c:pt idx="7">
                  <c:v>-205120.57613941689</c:v>
                </c:pt>
                <c:pt idx="8">
                  <c:v>-182207.33627890874</c:v>
                </c:pt>
                <c:pt idx="9">
                  <c:v>-158126.9254409009</c:v>
                </c:pt>
                <c:pt idx="10">
                  <c:v>-132819.78392984188</c:v>
                </c:pt>
                <c:pt idx="11">
                  <c:v>-106223.30775291153</c:v>
                </c:pt>
                <c:pt idx="12">
                  <c:v>-73271.6927773645</c:v>
                </c:pt>
                <c:pt idx="13">
                  <c:v>-43635.770898729141</c:v>
                </c:pt>
                <c:pt idx="14">
                  <c:v>-12489.317809769669</c:v>
                </c:pt>
                <c:pt idx="15">
                  <c:v>20244.791100955521</c:v>
                </c:pt>
                <c:pt idx="16">
                  <c:v>54647.624612347405</c:v>
                </c:pt>
                <c:pt idx="17">
                  <c:v>90804.397677319255</c:v>
                </c:pt>
                <c:pt idx="18">
                  <c:v>128804.68378968922</c:v>
                </c:pt>
                <c:pt idx="19">
                  <c:v>168742.63824343975</c:v>
                </c:pt>
                <c:pt idx="20">
                  <c:v>210717.23284372338</c:v>
                </c:pt>
                <c:pt idx="21">
                  <c:v>254832.50265775606</c:v>
                </c:pt>
                <c:pt idx="22">
                  <c:v>301197.80542397802</c:v>
                </c:pt>
                <c:pt idx="23">
                  <c:v>349928.0942696617</c:v>
                </c:pt>
                <c:pt idx="24">
                  <c:v>401144.20442057896</c:v>
                </c:pt>
                <c:pt idx="25">
                  <c:v>454973.15462149488</c:v>
                </c:pt>
                <c:pt idx="26">
                  <c:v>511548.46402322169</c:v>
                </c:pt>
                <c:pt idx="27">
                  <c:v>571010.48533083266</c:v>
                </c:pt>
                <c:pt idx="28">
                  <c:v>633506.75504850538</c:v>
                </c:pt>
                <c:pt idx="29">
                  <c:v>699192.36169943959</c:v>
                </c:pt>
                <c:pt idx="30">
                  <c:v>768230.33294447488</c:v>
                </c:pt>
                <c:pt idx="31">
                  <c:v>840792.04257055314</c:v>
                </c:pt>
                <c:pt idx="32">
                  <c:v>917057.63837012416</c:v>
                </c:pt>
                <c:pt idx="33">
                  <c:v>983154.18966403732</c:v>
                </c:pt>
                <c:pt idx="34">
                  <c:v>1052688.2075265674</c:v>
                </c:pt>
                <c:pt idx="35">
                  <c:v>1125837.9943179488</c:v>
                </c:pt>
                <c:pt idx="36">
                  <c:v>1202791.5700224822</c:v>
                </c:pt>
                <c:pt idx="37">
                  <c:v>1283746.7316636513</c:v>
                </c:pt>
                <c:pt idx="38">
                  <c:v>1368911.5617101612</c:v>
                </c:pt>
                <c:pt idx="39">
                  <c:v>1458504.9629190897</c:v>
                </c:pt>
                <c:pt idx="40">
                  <c:v>1552757.2209908827</c:v>
                </c:pt>
                <c:pt idx="41">
                  <c:v>1651910.5964824085</c:v>
                </c:pt>
                <c:pt idx="42">
                  <c:v>1966619.9474994938</c:v>
                </c:pt>
                <c:pt idx="43">
                  <c:v>2087294.1847694675</c:v>
                </c:pt>
                <c:pt idx="44">
                  <c:v>2214243.4823774802</c:v>
                </c:pt>
                <c:pt idx="45">
                  <c:v>2347794.1434611091</c:v>
                </c:pt>
                <c:pt idx="46">
                  <c:v>2488289.4389210865</c:v>
                </c:pt>
                <c:pt idx="47">
                  <c:v>2636090.4897449836</c:v>
                </c:pt>
                <c:pt idx="48">
                  <c:v>2791577.1952117225</c:v>
                </c:pt>
                <c:pt idx="49">
                  <c:v>2736859.2093627322</c:v>
                </c:pt>
                <c:pt idx="50">
                  <c:v>2679295.8882495947</c:v>
                </c:pt>
                <c:pt idx="51">
                  <c:v>2618739.2744385735</c:v>
                </c:pt>
                <c:pt idx="52">
                  <c:v>2555033.7167093796</c:v>
                </c:pt>
                <c:pt idx="53">
                  <c:v>2488015.4699782673</c:v>
                </c:pt>
                <c:pt idx="54">
                  <c:v>2417512.2744171373</c:v>
                </c:pt>
                <c:pt idx="55">
                  <c:v>2343342.9126868285</c:v>
                </c:pt>
                <c:pt idx="56">
                  <c:v>2265316.7441465436</c:v>
                </c:pt>
                <c:pt idx="57">
                  <c:v>2183233.214842164</c:v>
                </c:pt>
                <c:pt idx="58">
                  <c:v>2096881.3420139565</c:v>
                </c:pt>
                <c:pt idx="59">
                  <c:v>2006039.1717986823</c:v>
                </c:pt>
                <c:pt idx="60">
                  <c:v>1910473.2087322136</c:v>
                </c:pt>
                <c:pt idx="61">
                  <c:v>1809937.8155862887</c:v>
                </c:pt>
                <c:pt idx="62">
                  <c:v>1704174.5819967757</c:v>
                </c:pt>
                <c:pt idx="63">
                  <c:v>1592911.6602606082</c:v>
                </c:pt>
                <c:pt idx="64">
                  <c:v>1475863.0665941597</c:v>
                </c:pt>
                <c:pt idx="65">
                  <c:v>1352727.9460570561</c:v>
                </c:pt>
                <c:pt idx="66">
                  <c:v>1223189.799252023</c:v>
                </c:pt>
                <c:pt idx="67">
                  <c:v>887035.66881312826</c:v>
                </c:pt>
                <c:pt idx="68">
                  <c:v>733281.52359141095</c:v>
                </c:pt>
                <c:pt idx="69">
                  <c:v>571532.16281816445</c:v>
                </c:pt>
                <c:pt idx="70">
                  <c:v>401371.83528470894</c:v>
                </c:pt>
                <c:pt idx="71">
                  <c:v>222363.17071951384</c:v>
                </c:pt>
                <c:pt idx="72">
                  <c:v>32363.17071951383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46528"/>
        <c:axId val="141048064"/>
      </c:scatterChart>
      <c:valAx>
        <c:axId val="141046528"/>
        <c:scaling>
          <c:orientation val="minMax"/>
          <c:max val="90"/>
          <c:min val="15"/>
        </c:scaling>
        <c:delete val="0"/>
        <c:axPos val="b"/>
        <c:numFmt formatCode="General" sourceLinked="1"/>
        <c:majorTickMark val="none"/>
        <c:minorTickMark val="in"/>
        <c:tickLblPos val="nextTo"/>
        <c:crossAx val="141048064"/>
        <c:crosses val="autoZero"/>
        <c:crossBetween val="midCat"/>
        <c:majorUnit val="5"/>
        <c:minorUnit val="1"/>
      </c:valAx>
      <c:valAx>
        <c:axId val="141048064"/>
        <c:scaling>
          <c:orientation val="minMax"/>
          <c:max val="11700000"/>
          <c:min val="-4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none"/>
        <c:minorTickMark val="in"/>
        <c:tickLblPos val="nextTo"/>
        <c:crossAx val="141046528"/>
        <c:crosses val="autoZero"/>
        <c:crossBetween val="midCat"/>
        <c:majorUnit val="1000000"/>
        <c:minorUnit val="250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Gill Sans MT" panose="020B0502020104020203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="60" zoomScaleNormal="100" workbookViewId="0">
      <selection activeCell="G10" sqref="G10"/>
    </sheetView>
  </sheetViews>
  <sheetFormatPr defaultColWidth="27.85546875" defaultRowHeight="13.5" x14ac:dyDescent="0.3"/>
  <cols>
    <col min="1" max="1" width="27.85546875" style="3"/>
    <col min="2" max="2" width="13.42578125" style="3" bestFit="1" customWidth="1"/>
    <col min="3" max="3" width="17.7109375" style="3" bestFit="1" customWidth="1"/>
    <col min="4" max="4" width="15.85546875" style="3" bestFit="1" customWidth="1"/>
    <col min="5" max="5" width="15.140625" style="3" bestFit="1" customWidth="1"/>
    <col min="6" max="6" width="14.5703125" style="3" bestFit="1" customWidth="1"/>
    <col min="7" max="7" width="14.85546875" style="3" bestFit="1" customWidth="1"/>
    <col min="8" max="8" width="15.85546875" style="3" bestFit="1" customWidth="1"/>
    <col min="9" max="9" width="9.5703125" style="3" bestFit="1" customWidth="1"/>
    <col min="10" max="16384" width="27.85546875" style="3"/>
  </cols>
  <sheetData>
    <row r="1" spans="1:9" x14ac:dyDescent="0.3">
      <c r="A1" s="3" t="s">
        <v>11</v>
      </c>
    </row>
    <row r="3" spans="1:9" x14ac:dyDescent="0.3">
      <c r="A3" s="3" t="s">
        <v>5</v>
      </c>
      <c r="B3" s="4">
        <f>0.052</f>
        <v>5.1999999999999998E-2</v>
      </c>
    </row>
    <row r="4" spans="1:9" x14ac:dyDescent="0.3">
      <c r="A4" s="3" t="s">
        <v>8</v>
      </c>
      <c r="B4" s="5">
        <f>0.0466</f>
        <v>4.6600000000000003E-2</v>
      </c>
    </row>
    <row r="5" spans="1:9" x14ac:dyDescent="0.3">
      <c r="A5" s="3" t="s">
        <v>9</v>
      </c>
      <c r="B5" s="6">
        <v>190000</v>
      </c>
    </row>
    <row r="7" spans="1:9" x14ac:dyDescent="0.3">
      <c r="A7" s="7" t="s">
        <v>0</v>
      </c>
      <c r="B7" s="7" t="s">
        <v>2</v>
      </c>
      <c r="C7" s="7" t="s">
        <v>3</v>
      </c>
      <c r="D7" s="7" t="s">
        <v>7</v>
      </c>
      <c r="E7" s="7" t="s">
        <v>6</v>
      </c>
      <c r="F7" s="7" t="s">
        <v>1</v>
      </c>
      <c r="G7" s="7" t="s">
        <v>4</v>
      </c>
      <c r="H7" s="7" t="s">
        <v>10</v>
      </c>
      <c r="I7" s="7" t="s">
        <v>12</v>
      </c>
    </row>
    <row r="8" spans="1:9" x14ac:dyDescent="0.3">
      <c r="A8" s="3">
        <v>18</v>
      </c>
      <c r="B8" s="6">
        <v>0</v>
      </c>
      <c r="C8" s="6">
        <v>-30000</v>
      </c>
      <c r="D8" s="6">
        <v>0</v>
      </c>
      <c r="E8" s="6">
        <f>SUM($C$8:C8)*(1+$B$4)</f>
        <v>-31398</v>
      </c>
      <c r="F8" s="6"/>
      <c r="G8" s="6"/>
      <c r="H8" s="6"/>
      <c r="I8" s="6">
        <f>E8+G8+H8</f>
        <v>-31398</v>
      </c>
    </row>
    <row r="9" spans="1:9" x14ac:dyDescent="0.3">
      <c r="A9" s="3">
        <v>19</v>
      </c>
      <c r="B9" s="6">
        <f>I8</f>
        <v>-31398</v>
      </c>
      <c r="C9" s="6">
        <f>-30000</f>
        <v>-30000</v>
      </c>
      <c r="D9" s="6">
        <v>0</v>
      </c>
      <c r="E9" s="6">
        <f>(E8+C9)*(1+$B$4)</f>
        <v>-64259.146799999995</v>
      </c>
      <c r="F9" s="6"/>
      <c r="G9" s="6"/>
      <c r="H9" s="6"/>
      <c r="I9" s="6">
        <f>E9+G9+H9</f>
        <v>-64259.146799999995</v>
      </c>
    </row>
    <row r="10" spans="1:9" x14ac:dyDescent="0.3">
      <c r="A10" s="3">
        <v>20</v>
      </c>
      <c r="B10" s="6">
        <f>I9</f>
        <v>-64259.146799999995</v>
      </c>
      <c r="C10" s="6">
        <f>-30000</f>
        <v>-30000</v>
      </c>
      <c r="D10" s="6">
        <v>0</v>
      </c>
      <c r="E10" s="6">
        <f>(E9+C10)*(1+$B$4)</f>
        <v>-98651.623040879989</v>
      </c>
      <c r="F10" s="6"/>
      <c r="G10" s="6"/>
      <c r="H10" s="6"/>
      <c r="I10" s="6">
        <f t="shared" ref="I10:I73" si="0">E10+G10+H10</f>
        <v>-98651.623040879989</v>
      </c>
    </row>
    <row r="11" spans="1:9" x14ac:dyDescent="0.3">
      <c r="A11" s="3">
        <v>21</v>
      </c>
      <c r="B11" s="6">
        <f>I10</f>
        <v>-98651.623040879989</v>
      </c>
      <c r="C11" s="6">
        <f>30000*-1</f>
        <v>-30000</v>
      </c>
      <c r="D11" s="6">
        <v>0</v>
      </c>
      <c r="E11" s="6">
        <f>(E10+C11)*(1+$B$4)</f>
        <v>-134646.788674585</v>
      </c>
      <c r="F11" s="6"/>
      <c r="G11" s="6"/>
      <c r="H11" s="6"/>
      <c r="I11" s="6">
        <f t="shared" si="0"/>
        <v>-134646.788674585</v>
      </c>
    </row>
    <row r="12" spans="1:9" x14ac:dyDescent="0.3">
      <c r="A12" s="3">
        <v>22</v>
      </c>
      <c r="B12" s="6">
        <f>I11+(-$B$11/25)</f>
        <v>-130700.72375294979</v>
      </c>
      <c r="C12" s="6"/>
      <c r="D12" s="6">
        <f>PMT($B$4,25,134647,0,1)*-1</f>
        <v>8819.6056292040103</v>
      </c>
      <c r="E12" s="6">
        <f>E11-(PPMT($B$4,1,25,134647,0))</f>
        <v>-131690.73962306007</v>
      </c>
      <c r="F12" s="6"/>
      <c r="G12" s="6"/>
      <c r="H12" s="6"/>
      <c r="I12" s="6">
        <f t="shared" si="0"/>
        <v>-131690.73962306007</v>
      </c>
    </row>
    <row r="13" spans="1:9" x14ac:dyDescent="0.3">
      <c r="A13" s="3">
        <v>23</v>
      </c>
      <c r="B13" s="6">
        <f>I12+(-$B$11/25)</f>
        <v>-127744.67470142487</v>
      </c>
      <c r="C13" s="6"/>
      <c r="D13" s="6">
        <f>PMT($B$4,25,134647,0,1)*-1</f>
        <v>8819.6056292040103</v>
      </c>
      <c r="E13" s="6">
        <f>E12-(PPMT($B$4,2,25,134647,0))</f>
        <v>-128596.93868573409</v>
      </c>
      <c r="F13" s="6"/>
      <c r="G13" s="6"/>
      <c r="H13" s="6"/>
      <c r="I13" s="6">
        <f t="shared" si="0"/>
        <v>-128596.93868573409</v>
      </c>
    </row>
    <row r="14" spans="1:9" x14ac:dyDescent="0.3">
      <c r="A14" s="3">
        <v>24</v>
      </c>
      <c r="B14" s="6">
        <f>(I13*1.0466)</f>
        <v>-134589.55602848929</v>
      </c>
      <c r="C14" s="6">
        <f>-30000</f>
        <v>-30000</v>
      </c>
      <c r="D14" s="6">
        <v>0</v>
      </c>
      <c r="E14" s="6">
        <f>(E13+C14)*(1+$B$4)</f>
        <v>-165987.55602848929</v>
      </c>
      <c r="F14" s="6"/>
      <c r="G14" s="6"/>
      <c r="H14" s="6"/>
      <c r="I14" s="6">
        <f t="shared" si="0"/>
        <v>-165987.55602848929</v>
      </c>
    </row>
    <row r="15" spans="1:9" x14ac:dyDescent="0.3">
      <c r="A15" s="3">
        <v>25</v>
      </c>
      <c r="B15" s="6">
        <f>(I14*1.0466)</f>
        <v>-173722.57613941689</v>
      </c>
      <c r="C15" s="6">
        <f>-30000</f>
        <v>-30000</v>
      </c>
      <c r="D15" s="6">
        <v>0</v>
      </c>
      <c r="E15" s="6">
        <f>(E14+C15)*(1+$B$4)</f>
        <v>-205120.57613941689</v>
      </c>
      <c r="F15" s="6"/>
      <c r="G15" s="6"/>
      <c r="H15" s="6"/>
      <c r="I15" s="6">
        <f t="shared" si="0"/>
        <v>-205120.57613941689</v>
      </c>
    </row>
    <row r="16" spans="1:9" x14ac:dyDescent="0.3">
      <c r="A16" s="3">
        <v>26</v>
      </c>
      <c r="B16" s="6">
        <f>I15</f>
        <v>-205120.57613941689</v>
      </c>
      <c r="C16" s="6"/>
      <c r="D16" s="6">
        <f>PMT($B$4,25,205121,0,1)*-1</f>
        <v>13435.771508224883</v>
      </c>
      <c r="E16" s="6">
        <f>E15-(PPMT($B$4,1,25,205121,0))</f>
        <v>-200617.33627890874</v>
      </c>
      <c r="F16" s="6">
        <f>17500</f>
        <v>17500</v>
      </c>
      <c r="G16" s="6">
        <f>F16*(1+$B$3)</f>
        <v>18410</v>
      </c>
      <c r="H16" s="6"/>
      <c r="I16" s="6">
        <f t="shared" si="0"/>
        <v>-182207.33627890874</v>
      </c>
    </row>
    <row r="17" spans="1:9" x14ac:dyDescent="0.3">
      <c r="A17" s="3">
        <v>27</v>
      </c>
      <c r="B17" s="6">
        <f t="shared" ref="B17:B80" si="1">I16</f>
        <v>-182207.33627890874</v>
      </c>
      <c r="C17" s="6"/>
      <c r="D17" s="6">
        <f t="shared" ref="D17:D40" si="2">PMT($B$4,25,205121,0,1)*-1</f>
        <v>13435.771508224883</v>
      </c>
      <c r="E17" s="6">
        <f>E16-(PPMT($B$4,2,25,205121,0))</f>
        <v>-195904.24544090091</v>
      </c>
      <c r="F17" s="6">
        <f>17500</f>
        <v>17500</v>
      </c>
      <c r="G17" s="6">
        <f>(G16+F16)*(1+$B$3)</f>
        <v>37777.32</v>
      </c>
      <c r="H17" s="6"/>
      <c r="I17" s="6">
        <f>E17+G17+H17</f>
        <v>-158126.9254409009</v>
      </c>
    </row>
    <row r="18" spans="1:9" x14ac:dyDescent="0.3">
      <c r="A18" s="3">
        <v>28</v>
      </c>
      <c r="B18" s="6">
        <f t="shared" si="1"/>
        <v>-158126.9254409009</v>
      </c>
      <c r="C18" s="6"/>
      <c r="D18" s="6">
        <f t="shared" si="2"/>
        <v>13435.771508224883</v>
      </c>
      <c r="E18" s="6">
        <f>E17-(PPMT($B$4,3,25,205121,0))</f>
        <v>-190971.52456984189</v>
      </c>
      <c r="F18" s="6">
        <f>17500</f>
        <v>17500</v>
      </c>
      <c r="G18" s="6">
        <f t="shared" ref="G18:G56" si="3">(G17+F17)*(1+$B$3)</f>
        <v>58151.740640000004</v>
      </c>
      <c r="H18" s="6"/>
      <c r="I18" s="6">
        <f t="shared" si="0"/>
        <v>-132819.78392984188</v>
      </c>
    </row>
    <row r="19" spans="1:9" x14ac:dyDescent="0.3">
      <c r="A19" s="3">
        <v>29</v>
      </c>
      <c r="B19" s="6">
        <f t="shared" si="1"/>
        <v>-132819.78392984188</v>
      </c>
      <c r="C19" s="6"/>
      <c r="D19" s="6">
        <f t="shared" si="2"/>
        <v>13435.771508224883</v>
      </c>
      <c r="E19" s="6">
        <f>E18-(PPMT($B$4,4,25,205121,0))</f>
        <v>-185808.93890619153</v>
      </c>
      <c r="F19" s="6">
        <f>17500</f>
        <v>17500</v>
      </c>
      <c r="G19" s="6">
        <f t="shared" si="3"/>
        <v>79585.631153280003</v>
      </c>
      <c r="H19" s="6"/>
      <c r="I19" s="6">
        <f t="shared" si="0"/>
        <v>-106223.30775291153</v>
      </c>
    </row>
    <row r="20" spans="1:9" x14ac:dyDescent="0.3">
      <c r="A20" s="3">
        <v>30</v>
      </c>
      <c r="B20" s="6">
        <f t="shared" si="1"/>
        <v>-106223.30775291153</v>
      </c>
      <c r="C20" s="6"/>
      <c r="D20" s="6">
        <f t="shared" si="2"/>
        <v>13435.771508224883</v>
      </c>
      <c r="E20" s="6">
        <f>E19-(PPMT($B$4,5,25,205121,0))</f>
        <v>-180405.77675061507</v>
      </c>
      <c r="F20" s="6">
        <f>17500</f>
        <v>17500</v>
      </c>
      <c r="G20" s="6">
        <f t="shared" si="3"/>
        <v>102134.08397325057</v>
      </c>
      <c r="H20" s="6">
        <v>5000</v>
      </c>
      <c r="I20" s="6">
        <f>E20+G20+H20</f>
        <v>-73271.6927773645</v>
      </c>
    </row>
    <row r="21" spans="1:9" x14ac:dyDescent="0.3">
      <c r="A21" s="3">
        <v>31</v>
      </c>
      <c r="B21" s="6">
        <f t="shared" si="1"/>
        <v>-73271.6927773645</v>
      </c>
      <c r="C21" s="6"/>
      <c r="D21" s="6">
        <f t="shared" si="2"/>
        <v>13435.771508224883</v>
      </c>
      <c r="E21" s="6">
        <f>E20-(PPMT($B$4,6,25,205121,0))</f>
        <v>-174750.82723858874</v>
      </c>
      <c r="F21" s="6">
        <f>17500</f>
        <v>17500</v>
      </c>
      <c r="G21" s="6">
        <f t="shared" si="3"/>
        <v>125855.0563398596</v>
      </c>
      <c r="H21" s="6">
        <f>H20*(1+$B$3)</f>
        <v>5260</v>
      </c>
      <c r="I21" s="6">
        <f>E21+G21+H21</f>
        <v>-43635.770898729141</v>
      </c>
    </row>
    <row r="22" spans="1:9" x14ac:dyDescent="0.3">
      <c r="A22" s="3">
        <v>32</v>
      </c>
      <c r="B22" s="6">
        <f t="shared" si="1"/>
        <v>-43635.770898729141</v>
      </c>
      <c r="C22" s="6"/>
      <c r="D22" s="6">
        <f t="shared" si="2"/>
        <v>13435.771508224883</v>
      </c>
      <c r="E22" s="6">
        <f>E21-(PPMT($B$4,7,25,205121,0))</f>
        <v>-168832.35707930199</v>
      </c>
      <c r="F22" s="6">
        <f>17500</f>
        <v>17500</v>
      </c>
      <c r="G22" s="6">
        <f t="shared" si="3"/>
        <v>150809.51926953232</v>
      </c>
      <c r="H22" s="6">
        <f t="shared" ref="H22:H49" si="4">H21*(1+$B$3)</f>
        <v>5533.52</v>
      </c>
      <c r="I22" s="6">
        <f t="shared" ref="I22:I55" si="5">E22+G22+H22</f>
        <v>-12489.317809769669</v>
      </c>
    </row>
    <row r="23" spans="1:9" x14ac:dyDescent="0.3">
      <c r="A23" s="3">
        <v>33</v>
      </c>
      <c r="B23" s="6">
        <f t="shared" si="1"/>
        <v>-12489.317809769669</v>
      </c>
      <c r="C23" s="6"/>
      <c r="D23" s="6">
        <f t="shared" si="2"/>
        <v>13435.771508224883</v>
      </c>
      <c r="E23" s="6">
        <f>E22-(PPMT($B$4,8,25,205121,0))</f>
        <v>-162638.08621059248</v>
      </c>
      <c r="F23" s="6">
        <f>17500</f>
        <v>17500</v>
      </c>
      <c r="G23" s="6">
        <f t="shared" si="3"/>
        <v>177061.61427154799</v>
      </c>
      <c r="H23" s="6">
        <f t="shared" si="4"/>
        <v>5821.2630400000007</v>
      </c>
      <c r="I23" s="6">
        <f t="shared" si="5"/>
        <v>20244.791100955521</v>
      </c>
    </row>
    <row r="24" spans="1:9" x14ac:dyDescent="0.3">
      <c r="A24" s="3">
        <v>34</v>
      </c>
      <c r="B24" s="6">
        <f t="shared" si="1"/>
        <v>20244.791100955521</v>
      </c>
      <c r="C24" s="6"/>
      <c r="D24" s="6">
        <f t="shared" si="2"/>
        <v>13435.771508224883</v>
      </c>
      <c r="E24" s="6">
        <f>E23-(PPMT($B$4,9,25,205121,0))</f>
        <v>-156155.1623194011</v>
      </c>
      <c r="F24" s="6">
        <f>17500</f>
        <v>17500</v>
      </c>
      <c r="G24" s="6">
        <f t="shared" si="3"/>
        <v>204678.81821366851</v>
      </c>
      <c r="H24" s="6">
        <f t="shared" si="4"/>
        <v>6123.9687180800011</v>
      </c>
      <c r="I24" s="6">
        <f t="shared" si="5"/>
        <v>54647.624612347405</v>
      </c>
    </row>
    <row r="25" spans="1:9" x14ac:dyDescent="0.3">
      <c r="A25" s="3">
        <v>35</v>
      </c>
      <c r="B25" s="6">
        <f t="shared" si="1"/>
        <v>54647.624612347405</v>
      </c>
      <c r="C25" s="6"/>
      <c r="D25" s="6">
        <f t="shared" si="2"/>
        <v>13435.771508224883</v>
      </c>
      <c r="E25" s="6">
        <f>E24-(PPMT($B$4,10,25,205121,0))</f>
        <v>-149370.13417488019</v>
      </c>
      <c r="F25" s="6">
        <f>17500</f>
        <v>17500</v>
      </c>
      <c r="G25" s="6">
        <f t="shared" si="3"/>
        <v>233732.11676077929</v>
      </c>
      <c r="H25" s="6">
        <f t="shared" si="4"/>
        <v>6442.4150914201618</v>
      </c>
      <c r="I25" s="6">
        <f t="shared" si="5"/>
        <v>90804.397677319255</v>
      </c>
    </row>
    <row r="26" spans="1:9" x14ac:dyDescent="0.3">
      <c r="A26" s="3">
        <v>36</v>
      </c>
      <c r="B26" s="6">
        <f t="shared" si="1"/>
        <v>90804.397677319255</v>
      </c>
      <c r="C26" s="6"/>
      <c r="D26" s="6">
        <f t="shared" si="2"/>
        <v>13435.771508224883</v>
      </c>
      <c r="E26" s="6">
        <f>E25-(PPMT($B$4,11,25,205121,0))</f>
        <v>-142268.92371882463</v>
      </c>
      <c r="F26" s="6">
        <f>17500</f>
        <v>17500</v>
      </c>
      <c r="G26" s="6">
        <f t="shared" si="3"/>
        <v>264296.18683233985</v>
      </c>
      <c r="H26" s="6">
        <f t="shared" si="4"/>
        <v>6777.4206761740106</v>
      </c>
      <c r="I26" s="6">
        <f t="shared" si="5"/>
        <v>128804.68378968922</v>
      </c>
    </row>
    <row r="27" spans="1:9" x14ac:dyDescent="0.3">
      <c r="A27" s="3">
        <v>37</v>
      </c>
      <c r="B27" s="6">
        <f t="shared" si="1"/>
        <v>128804.68378968922</v>
      </c>
      <c r="C27" s="6"/>
      <c r="D27" s="6">
        <f t="shared" si="2"/>
        <v>13435.771508224883</v>
      </c>
      <c r="E27" s="6">
        <f>E26-(PPMT($B$4,12,25,205121,0))</f>
        <v>-134836.79685551688</v>
      </c>
      <c r="F27" s="6">
        <f>17500</f>
        <v>17500</v>
      </c>
      <c r="G27" s="6">
        <f t="shared" si="3"/>
        <v>296449.58854762156</v>
      </c>
      <c r="H27" s="6">
        <f t="shared" si="4"/>
        <v>7129.8465513350593</v>
      </c>
      <c r="I27" s="6">
        <f t="shared" si="5"/>
        <v>168742.63824343975</v>
      </c>
    </row>
    <row r="28" spans="1:9" x14ac:dyDescent="0.3">
      <c r="A28" s="3">
        <v>38</v>
      </c>
      <c r="B28" s="6">
        <f t="shared" si="1"/>
        <v>168742.63824343975</v>
      </c>
      <c r="C28" s="6"/>
      <c r="D28" s="6">
        <f t="shared" si="2"/>
        <v>13435.771508224883</v>
      </c>
      <c r="E28" s="6">
        <f>E27-(PPMT($B$4,13,25,205121,0))</f>
        <v>-127058.33288037898</v>
      </c>
      <c r="F28" s="6">
        <f>17500</f>
        <v>17500</v>
      </c>
      <c r="G28" s="6">
        <f t="shared" si="3"/>
        <v>330274.9671520979</v>
      </c>
      <c r="H28" s="6">
        <f t="shared" si="4"/>
        <v>7500.5985720044828</v>
      </c>
      <c r="I28" s="6">
        <f t="shared" si="5"/>
        <v>210717.23284372338</v>
      </c>
    </row>
    <row r="29" spans="1:9" x14ac:dyDescent="0.3">
      <c r="A29" s="3">
        <v>39</v>
      </c>
      <c r="B29" s="6">
        <f t="shared" si="1"/>
        <v>210717.23284372338</v>
      </c>
      <c r="C29" s="6"/>
      <c r="D29" s="6">
        <f t="shared" si="2"/>
        <v>13435.771508224883</v>
      </c>
      <c r="E29" s="6">
        <f>E28-(PPMT($B$4,14,25,205121,0))</f>
        <v>-118917.39248399965</v>
      </c>
      <c r="F29" s="6">
        <f>17500</f>
        <v>17500</v>
      </c>
      <c r="G29" s="6">
        <f t="shared" si="3"/>
        <v>365859.265444007</v>
      </c>
      <c r="H29" s="6">
        <f t="shared" si="4"/>
        <v>7890.6296977487164</v>
      </c>
      <c r="I29" s="6">
        <f t="shared" si="5"/>
        <v>254832.50265775606</v>
      </c>
    </row>
    <row r="30" spans="1:9" x14ac:dyDescent="0.3">
      <c r="A30" s="3">
        <v>40</v>
      </c>
      <c r="B30" s="6">
        <f t="shared" si="1"/>
        <v>254832.50265775606</v>
      </c>
      <c r="C30" s="6"/>
      <c r="D30" s="6">
        <f t="shared" si="2"/>
        <v>13435.771508224883</v>
      </c>
      <c r="E30" s="6">
        <f>E29-(PPMT($B$4,15,25,205121,0))</f>
        <v>-110397.08426514904</v>
      </c>
      <c r="F30" s="6">
        <f>17500</f>
        <v>17500</v>
      </c>
      <c r="G30" s="6">
        <f t="shared" si="3"/>
        <v>403293.94724709541</v>
      </c>
      <c r="H30" s="6">
        <f t="shared" si="4"/>
        <v>8300.94244203165</v>
      </c>
      <c r="I30" s="6">
        <f t="shared" si="5"/>
        <v>301197.80542397802</v>
      </c>
    </row>
    <row r="31" spans="1:9" x14ac:dyDescent="0.3">
      <c r="A31" s="3">
        <v>41</v>
      </c>
      <c r="B31" s="6">
        <f t="shared" si="1"/>
        <v>301197.80542397802</v>
      </c>
      <c r="C31" s="6"/>
      <c r="D31" s="6">
        <f t="shared" si="2"/>
        <v>13435.771508224883</v>
      </c>
      <c r="E31" s="6">
        <f>E30-(PPMT($B$4,16,25,205121,0))</f>
        <v>-101479.72968329999</v>
      </c>
      <c r="F31" s="6">
        <f>17500</f>
        <v>17500</v>
      </c>
      <c r="G31" s="6">
        <f t="shared" si="3"/>
        <v>442675.23250394437</v>
      </c>
      <c r="H31" s="6">
        <f t="shared" si="4"/>
        <v>8732.5914490172963</v>
      </c>
      <c r="I31" s="6">
        <f t="shared" si="5"/>
        <v>349928.0942696617</v>
      </c>
    </row>
    <row r="32" spans="1:9" x14ac:dyDescent="0.3">
      <c r="A32" s="3">
        <v>42</v>
      </c>
      <c r="B32" s="6">
        <f t="shared" si="1"/>
        <v>349928.0942696617</v>
      </c>
      <c r="C32" s="6"/>
      <c r="D32" s="6">
        <f t="shared" si="2"/>
        <v>13435.771508224883</v>
      </c>
      <c r="E32" s="6">
        <f>E31-(PPMT($B$4,17,25,205121,0))</f>
        <v>-92146.82637793677</v>
      </c>
      <c r="F32" s="6">
        <f>17500</f>
        <v>17500</v>
      </c>
      <c r="G32" s="6">
        <f t="shared" si="3"/>
        <v>484104.3445941495</v>
      </c>
      <c r="H32" s="6">
        <f t="shared" si="4"/>
        <v>9186.6862043661968</v>
      </c>
      <c r="I32" s="6">
        <f t="shared" si="5"/>
        <v>401144.20442057896</v>
      </c>
    </row>
    <row r="33" spans="1:9" x14ac:dyDescent="0.3">
      <c r="A33" s="3">
        <v>43</v>
      </c>
      <c r="B33" s="6">
        <f t="shared" si="1"/>
        <v>401144.20442057896</v>
      </c>
      <c r="C33" s="6"/>
      <c r="D33" s="6">
        <f t="shared" si="2"/>
        <v>13435.771508224883</v>
      </c>
      <c r="E33" s="6">
        <f>E32-(PPMT($B$4,18,25,205121,0))</f>
        <v>-82379.009778543637</v>
      </c>
      <c r="F33" s="6">
        <f>17500</f>
        <v>17500</v>
      </c>
      <c r="G33" s="6">
        <f t="shared" si="3"/>
        <v>527687.77051304525</v>
      </c>
      <c r="H33" s="6">
        <f t="shared" si="4"/>
        <v>9664.393886993239</v>
      </c>
      <c r="I33" s="6">
        <f t="shared" si="5"/>
        <v>454973.15462149488</v>
      </c>
    </row>
    <row r="34" spans="1:9" x14ac:dyDescent="0.3">
      <c r="A34" s="3">
        <v>44</v>
      </c>
      <c r="B34" s="6">
        <f t="shared" si="1"/>
        <v>454973.15462149488</v>
      </c>
      <c r="C34" s="6"/>
      <c r="D34" s="6">
        <f t="shared" si="2"/>
        <v>13435.771508224883</v>
      </c>
      <c r="E34" s="6">
        <f>E33-(PPMT($B$4,19,25,205121,0))</f>
        <v>-72156.012925618779</v>
      </c>
      <c r="F34" s="6">
        <f>17500</f>
        <v>17500</v>
      </c>
      <c r="G34" s="6">
        <f t="shared" si="3"/>
        <v>573537.53457972361</v>
      </c>
      <c r="H34" s="6">
        <f t="shared" si="4"/>
        <v>10166.942369116889</v>
      </c>
      <c r="I34" s="6">
        <f t="shared" si="5"/>
        <v>511548.46402322169</v>
      </c>
    </row>
    <row r="35" spans="1:9" x14ac:dyDescent="0.3">
      <c r="A35" s="3">
        <v>45</v>
      </c>
      <c r="B35" s="6">
        <f t="shared" si="1"/>
        <v>511548.46402322169</v>
      </c>
      <c r="C35" s="6"/>
      <c r="D35" s="6">
        <f t="shared" si="2"/>
        <v>13435.771508224883</v>
      </c>
      <c r="E35" s="6">
        <f>E34-(PPMT($B$4,20,25,205121,0))</f>
        <v>-61456.624419347623</v>
      </c>
      <c r="F35" s="6">
        <f>17500</f>
        <v>17500</v>
      </c>
      <c r="G35" s="6">
        <f t="shared" si="3"/>
        <v>621771.48637786927</v>
      </c>
      <c r="H35" s="6">
        <f t="shared" si="4"/>
        <v>10695.623372310967</v>
      </c>
      <c r="I35" s="6">
        <f t="shared" si="5"/>
        <v>571010.48533083266</v>
      </c>
    </row>
    <row r="36" spans="1:9" x14ac:dyDescent="0.3">
      <c r="A36" s="3">
        <v>46</v>
      </c>
      <c r="B36" s="6">
        <f t="shared" si="1"/>
        <v>571010.48533083266</v>
      </c>
      <c r="C36" s="6"/>
      <c r="D36" s="6">
        <f t="shared" si="2"/>
        <v>13435.771508224883</v>
      </c>
      <c r="E36" s="6">
        <f>E35-(PPMT($B$4,21,25,205121,0))</f>
        <v>-50258.644408684231</v>
      </c>
      <c r="F36" s="6">
        <f>17500</f>
        <v>17500</v>
      </c>
      <c r="G36" s="6">
        <f t="shared" si="3"/>
        <v>672513.60366951849</v>
      </c>
      <c r="H36" s="6">
        <f t="shared" si="4"/>
        <v>11251.795787671137</v>
      </c>
      <c r="I36" s="6">
        <f t="shared" si="5"/>
        <v>633506.75504850538</v>
      </c>
    </row>
    <row r="37" spans="1:9" x14ac:dyDescent="0.3">
      <c r="A37" s="3">
        <v>47</v>
      </c>
      <c r="B37" s="6">
        <f t="shared" si="1"/>
        <v>633506.75504850538</v>
      </c>
      <c r="C37" s="6"/>
      <c r="D37" s="6">
        <f t="shared" si="2"/>
        <v>13435.771508224883</v>
      </c>
      <c r="E37" s="6">
        <f>E36-(PPMT($B$4,22,25,205121,0))</f>
        <v>-38538.838529523928</v>
      </c>
      <c r="F37" s="6">
        <f>17500</f>
        <v>17500</v>
      </c>
      <c r="G37" s="6">
        <f t="shared" si="3"/>
        <v>725894.31106033351</v>
      </c>
      <c r="H37" s="6">
        <f t="shared" si="4"/>
        <v>11836.889168630038</v>
      </c>
      <c r="I37" s="6">
        <f t="shared" si="5"/>
        <v>699192.36169943959</v>
      </c>
    </row>
    <row r="38" spans="1:9" x14ac:dyDescent="0.3">
      <c r="A38" s="3">
        <v>48</v>
      </c>
      <c r="B38" s="6">
        <f t="shared" si="1"/>
        <v>699192.36169943959</v>
      </c>
      <c r="C38" s="6"/>
      <c r="D38" s="6">
        <f t="shared" si="2"/>
        <v>13435.771508224883</v>
      </c>
      <c r="E38" s="6">
        <f>E37-(PPMT($B$4,23,25,205121,0))</f>
        <v>-26272.889696394755</v>
      </c>
      <c r="F38" s="6">
        <f>17500</f>
        <v>17500</v>
      </c>
      <c r="G38" s="6">
        <f t="shared" si="3"/>
        <v>782050.81523547089</v>
      </c>
      <c r="H38" s="6">
        <f t="shared" si="4"/>
        <v>12452.407405398801</v>
      </c>
      <c r="I38" s="6">
        <f t="shared" si="5"/>
        <v>768230.33294447488</v>
      </c>
    </row>
    <row r="39" spans="1:9" x14ac:dyDescent="0.3">
      <c r="A39" s="3">
        <v>49</v>
      </c>
      <c r="B39" s="6">
        <f t="shared" si="1"/>
        <v>768230.33294447488</v>
      </c>
      <c r="C39" s="6"/>
      <c r="D39" s="6">
        <f t="shared" si="2"/>
        <v>13435.771508224883</v>
      </c>
      <c r="E39" s="6">
        <f>E38-(PPMT($B$4,24,25,205121,0))</f>
        <v>-13435.34764764176</v>
      </c>
      <c r="F39" s="6">
        <f>17500</f>
        <v>17500</v>
      </c>
      <c r="G39" s="6">
        <f t="shared" si="3"/>
        <v>841127.45762771543</v>
      </c>
      <c r="H39" s="6">
        <f t="shared" si="4"/>
        <v>13099.932590479539</v>
      </c>
      <c r="I39" s="6">
        <f t="shared" si="5"/>
        <v>840792.04257055314</v>
      </c>
    </row>
    <row r="40" spans="1:9" x14ac:dyDescent="0.3">
      <c r="A40" s="3">
        <v>50</v>
      </c>
      <c r="B40" s="6">
        <f t="shared" si="1"/>
        <v>840792.04257055314</v>
      </c>
      <c r="C40" s="6"/>
      <c r="D40" s="6">
        <f t="shared" si="2"/>
        <v>13435.771508224883</v>
      </c>
      <c r="E40" s="6">
        <f>E39-(PPMT($B$4,25,25,205121,0))</f>
        <v>0.42386058312149544</v>
      </c>
      <c r="F40" s="6">
        <f>17500</f>
        <v>17500</v>
      </c>
      <c r="G40" s="6">
        <f t="shared" si="3"/>
        <v>903276.08542435663</v>
      </c>
      <c r="H40" s="6">
        <f t="shared" si="4"/>
        <v>13781.129085184475</v>
      </c>
      <c r="I40" s="6">
        <f t="shared" si="5"/>
        <v>917057.63837012416</v>
      </c>
    </row>
    <row r="41" spans="1:9" x14ac:dyDescent="0.3">
      <c r="A41" s="3">
        <v>51</v>
      </c>
      <c r="B41" s="6">
        <f t="shared" si="1"/>
        <v>917057.63837012416</v>
      </c>
      <c r="C41" s="6"/>
      <c r="D41" s="6"/>
      <c r="E41" s="6"/>
      <c r="F41" s="6">
        <f>17500</f>
        <v>17500</v>
      </c>
      <c r="G41" s="6">
        <f t="shared" si="3"/>
        <v>968656.44186642324</v>
      </c>
      <c r="H41" s="6">
        <f t="shared" si="4"/>
        <v>14497.747797614069</v>
      </c>
      <c r="I41" s="6">
        <f t="shared" si="5"/>
        <v>983154.18966403732</v>
      </c>
    </row>
    <row r="42" spans="1:9" x14ac:dyDescent="0.3">
      <c r="A42" s="3">
        <v>52</v>
      </c>
      <c r="B42" s="6">
        <f t="shared" si="1"/>
        <v>983154.18966403732</v>
      </c>
      <c r="C42" s="6"/>
      <c r="D42" s="6"/>
      <c r="E42" s="6"/>
      <c r="F42" s="6">
        <f>17500</f>
        <v>17500</v>
      </c>
      <c r="G42" s="6">
        <f t="shared" si="3"/>
        <v>1037436.5768434773</v>
      </c>
      <c r="H42" s="6">
        <f t="shared" si="4"/>
        <v>15251.630683090001</v>
      </c>
      <c r="I42" s="6">
        <f t="shared" si="5"/>
        <v>1052688.2075265674</v>
      </c>
    </row>
    <row r="43" spans="1:9" x14ac:dyDescent="0.3">
      <c r="A43" s="3">
        <v>53</v>
      </c>
      <c r="B43" s="6">
        <f t="shared" si="1"/>
        <v>1052688.2075265674</v>
      </c>
      <c r="C43" s="6"/>
      <c r="D43" s="6"/>
      <c r="E43" s="6"/>
      <c r="F43" s="6">
        <f>17500</f>
        <v>17500</v>
      </c>
      <c r="G43" s="6">
        <f t="shared" si="3"/>
        <v>1109793.2788393381</v>
      </c>
      <c r="H43" s="6">
        <f t="shared" si="4"/>
        <v>16044.715478610682</v>
      </c>
      <c r="I43" s="6">
        <f t="shared" si="5"/>
        <v>1125837.9943179488</v>
      </c>
    </row>
    <row r="44" spans="1:9" x14ac:dyDescent="0.3">
      <c r="A44" s="3">
        <v>54</v>
      </c>
      <c r="B44" s="6">
        <f t="shared" si="1"/>
        <v>1125837.9943179488</v>
      </c>
      <c r="C44" s="6"/>
      <c r="D44" s="6"/>
      <c r="E44" s="6"/>
      <c r="F44" s="6">
        <f>17500</f>
        <v>17500</v>
      </c>
      <c r="G44" s="6">
        <f t="shared" si="3"/>
        <v>1185912.5293389838</v>
      </c>
      <c r="H44" s="6">
        <f t="shared" si="4"/>
        <v>16879.040683498439</v>
      </c>
      <c r="I44" s="6">
        <f t="shared" si="5"/>
        <v>1202791.5700224822</v>
      </c>
    </row>
    <row r="45" spans="1:9" x14ac:dyDescent="0.3">
      <c r="A45" s="3">
        <v>55</v>
      </c>
      <c r="B45" s="6">
        <f t="shared" si="1"/>
        <v>1202791.5700224822</v>
      </c>
      <c r="C45" s="6"/>
      <c r="D45" s="6"/>
      <c r="E45" s="6"/>
      <c r="F45" s="6">
        <f>17500</f>
        <v>17500</v>
      </c>
      <c r="G45" s="6">
        <f t="shared" si="3"/>
        <v>1265989.980864611</v>
      </c>
      <c r="H45" s="6">
        <f t="shared" si="4"/>
        <v>17756.750799040357</v>
      </c>
      <c r="I45" s="6">
        <f t="shared" si="5"/>
        <v>1283746.7316636513</v>
      </c>
    </row>
    <row r="46" spans="1:9" x14ac:dyDescent="0.3">
      <c r="A46" s="3">
        <v>56</v>
      </c>
      <c r="B46" s="6">
        <f t="shared" si="1"/>
        <v>1283746.7316636513</v>
      </c>
      <c r="C46" s="6"/>
      <c r="D46" s="6"/>
      <c r="E46" s="6"/>
      <c r="F46" s="6">
        <f>17500</f>
        <v>17500</v>
      </c>
      <c r="G46" s="6">
        <f t="shared" si="3"/>
        <v>1350231.4598695708</v>
      </c>
      <c r="H46" s="6">
        <f t="shared" si="4"/>
        <v>18680.101840590458</v>
      </c>
      <c r="I46" s="6">
        <f t="shared" si="5"/>
        <v>1368911.5617101612</v>
      </c>
    </row>
    <row r="47" spans="1:9" x14ac:dyDescent="0.3">
      <c r="A47" s="3">
        <v>57</v>
      </c>
      <c r="B47" s="6">
        <f t="shared" si="1"/>
        <v>1368911.5617101612</v>
      </c>
      <c r="C47" s="6"/>
      <c r="D47" s="6"/>
      <c r="E47" s="6"/>
      <c r="F47" s="6">
        <f>17500</f>
        <v>17500</v>
      </c>
      <c r="G47" s="6">
        <f t="shared" si="3"/>
        <v>1438853.4957827886</v>
      </c>
      <c r="H47" s="6">
        <f t="shared" si="4"/>
        <v>19651.467136301162</v>
      </c>
      <c r="I47" s="6">
        <f t="shared" si="5"/>
        <v>1458504.9629190897</v>
      </c>
    </row>
    <row r="48" spans="1:9" x14ac:dyDescent="0.3">
      <c r="A48" s="3">
        <v>58</v>
      </c>
      <c r="B48" s="6">
        <f t="shared" si="1"/>
        <v>1458504.9629190897</v>
      </c>
      <c r="C48" s="6"/>
      <c r="D48" s="6"/>
      <c r="E48" s="6"/>
      <c r="F48" s="6">
        <f>17500</f>
        <v>17500</v>
      </c>
      <c r="G48" s="6">
        <f t="shared" si="3"/>
        <v>1532083.8775634938</v>
      </c>
      <c r="H48" s="6">
        <f t="shared" si="4"/>
        <v>20673.343427388823</v>
      </c>
      <c r="I48" s="6">
        <f t="shared" si="5"/>
        <v>1552757.2209908827</v>
      </c>
    </row>
    <row r="49" spans="1:9" x14ac:dyDescent="0.3">
      <c r="A49" s="3">
        <v>59</v>
      </c>
      <c r="B49" s="6">
        <f t="shared" si="1"/>
        <v>1552757.2209908827</v>
      </c>
      <c r="C49" s="6"/>
      <c r="D49" s="6"/>
      <c r="E49" s="6"/>
      <c r="F49" s="6">
        <f>17500</f>
        <v>17500</v>
      </c>
      <c r="G49" s="6">
        <f t="shared" si="3"/>
        <v>1630162.2391967955</v>
      </c>
      <c r="H49" s="6">
        <f t="shared" si="4"/>
        <v>21748.357285613041</v>
      </c>
      <c r="I49" s="6">
        <f t="shared" si="5"/>
        <v>1651910.5964824085</v>
      </c>
    </row>
    <row r="50" spans="1:9" x14ac:dyDescent="0.3">
      <c r="A50" s="3">
        <v>60</v>
      </c>
      <c r="B50" s="6">
        <f t="shared" si="1"/>
        <v>1651910.5964824085</v>
      </c>
      <c r="C50" s="6"/>
      <c r="D50" s="6"/>
      <c r="E50" s="6"/>
      <c r="F50" s="6">
        <f>17500</f>
        <v>17500</v>
      </c>
      <c r="G50" s="6">
        <f t="shared" si="3"/>
        <v>1733340.6756350289</v>
      </c>
      <c r="H50" s="6">
        <f>(200000+H49)*(1+$B$3)</f>
        <v>233279.27186446494</v>
      </c>
      <c r="I50" s="6">
        <f t="shared" si="5"/>
        <v>1966619.9474994938</v>
      </c>
    </row>
    <row r="51" spans="1:9" x14ac:dyDescent="0.3">
      <c r="A51" s="3">
        <v>61</v>
      </c>
      <c r="B51" s="6">
        <f t="shared" si="1"/>
        <v>1966619.9474994938</v>
      </c>
      <c r="C51" s="6"/>
      <c r="D51" s="6"/>
      <c r="E51" s="6"/>
      <c r="F51" s="6">
        <f>17500</f>
        <v>17500</v>
      </c>
      <c r="G51" s="6">
        <f t="shared" si="3"/>
        <v>1841884.3907680504</v>
      </c>
      <c r="H51" s="6">
        <f>H50*(1+$B$3)</f>
        <v>245409.79400141712</v>
      </c>
      <c r="I51" s="6">
        <f t="shared" si="5"/>
        <v>2087294.1847694675</v>
      </c>
    </row>
    <row r="52" spans="1:9" x14ac:dyDescent="0.3">
      <c r="A52" s="3">
        <v>62</v>
      </c>
      <c r="B52" s="6">
        <f t="shared" si="1"/>
        <v>2087294.1847694675</v>
      </c>
      <c r="C52" s="6"/>
      <c r="D52" s="6"/>
      <c r="E52" s="6"/>
      <c r="F52" s="6">
        <f>17500</f>
        <v>17500</v>
      </c>
      <c r="G52" s="6">
        <f t="shared" si="3"/>
        <v>1956072.3790879892</v>
      </c>
      <c r="H52" s="6">
        <f t="shared" ref="H52:H56" si="6">H51*(1+$B$3)</f>
        <v>258171.10328949083</v>
      </c>
      <c r="I52" s="6">
        <f t="shared" si="5"/>
        <v>2214243.4823774802</v>
      </c>
    </row>
    <row r="53" spans="1:9" x14ac:dyDescent="0.3">
      <c r="A53" s="3">
        <v>63</v>
      </c>
      <c r="B53" s="6">
        <f t="shared" si="1"/>
        <v>2214243.4823774802</v>
      </c>
      <c r="C53" s="6"/>
      <c r="D53" s="6"/>
      <c r="E53" s="6"/>
      <c r="F53" s="6">
        <f>17500</f>
        <v>17500</v>
      </c>
      <c r="G53" s="6">
        <f t="shared" si="3"/>
        <v>2076198.1428005646</v>
      </c>
      <c r="H53" s="6">
        <f t="shared" si="6"/>
        <v>271596.00066054438</v>
      </c>
      <c r="I53" s="6">
        <f t="shared" si="5"/>
        <v>2347794.1434611091</v>
      </c>
    </row>
    <row r="54" spans="1:9" x14ac:dyDescent="0.3">
      <c r="A54" s="3">
        <v>64</v>
      </c>
      <c r="B54" s="6">
        <f t="shared" si="1"/>
        <v>2347794.1434611091</v>
      </c>
      <c r="C54" s="6"/>
      <c r="D54" s="6"/>
      <c r="E54" s="6"/>
      <c r="F54" s="6">
        <f>17500</f>
        <v>17500</v>
      </c>
      <c r="G54" s="6">
        <f t="shared" si="3"/>
        <v>2202570.446226194</v>
      </c>
      <c r="H54" s="6">
        <f t="shared" si="6"/>
        <v>285718.99269489269</v>
      </c>
      <c r="I54" s="6">
        <f t="shared" si="5"/>
        <v>2488289.4389210865</v>
      </c>
    </row>
    <row r="55" spans="1:9" x14ac:dyDescent="0.3">
      <c r="A55" s="3">
        <v>65</v>
      </c>
      <c r="B55" s="6">
        <f t="shared" si="1"/>
        <v>2488289.4389210865</v>
      </c>
      <c r="C55" s="6"/>
      <c r="D55" s="6"/>
      <c r="E55" s="6"/>
      <c r="F55" s="6">
        <f>17500</f>
        <v>17500</v>
      </c>
      <c r="G55" s="6">
        <f t="shared" si="3"/>
        <v>2335514.1094299564</v>
      </c>
      <c r="H55" s="6">
        <f t="shared" si="6"/>
        <v>300576.38031502714</v>
      </c>
      <c r="I55" s="6">
        <f t="shared" si="5"/>
        <v>2636090.4897449836</v>
      </c>
    </row>
    <row r="56" spans="1:9" x14ac:dyDescent="0.3">
      <c r="A56" s="3">
        <v>66</v>
      </c>
      <c r="B56" s="6">
        <f t="shared" si="1"/>
        <v>2636090.4897449836</v>
      </c>
      <c r="C56" s="6"/>
      <c r="D56" s="6"/>
      <c r="E56" s="6"/>
      <c r="F56" s="6">
        <f>17500</f>
        <v>17500</v>
      </c>
      <c r="G56" s="6">
        <f t="shared" si="3"/>
        <v>2475370.8431203142</v>
      </c>
      <c r="H56" s="6">
        <f t="shared" si="6"/>
        <v>316206.35209140857</v>
      </c>
      <c r="I56" s="6">
        <f t="shared" si="0"/>
        <v>2791577.1952117225</v>
      </c>
    </row>
    <row r="57" spans="1:9" x14ac:dyDescent="0.3">
      <c r="A57" s="3">
        <v>67</v>
      </c>
      <c r="B57" s="6">
        <f t="shared" si="1"/>
        <v>2791577.1952117225</v>
      </c>
      <c r="C57" s="6"/>
      <c r="D57" s="6"/>
      <c r="E57" s="6"/>
      <c r="F57" s="6"/>
      <c r="G57" s="6">
        <f>(G56-$B$5)*(1+$B$3)</f>
        <v>2404210.1269625705</v>
      </c>
      <c r="H57" s="6">
        <f>H56*(1+$B$3)</f>
        <v>332649.08240016183</v>
      </c>
      <c r="I57" s="6">
        <f t="shared" si="0"/>
        <v>2736859.2093627322</v>
      </c>
    </row>
    <row r="58" spans="1:9" x14ac:dyDescent="0.3">
      <c r="A58" s="3">
        <v>68</v>
      </c>
      <c r="B58" s="6">
        <f t="shared" si="1"/>
        <v>2736859.2093627322</v>
      </c>
      <c r="C58" s="6"/>
      <c r="D58" s="6"/>
      <c r="E58" s="6"/>
      <c r="F58" s="6"/>
      <c r="G58" s="6">
        <f t="shared" ref="G58:G76" si="7">(G57-$B$5)*(1+$B$3)</f>
        <v>2329349.0535646244</v>
      </c>
      <c r="H58" s="6">
        <f t="shared" ref="H58:H76" si="8">H57*(1+$B$3)</f>
        <v>349946.83468497026</v>
      </c>
      <c r="I58" s="6">
        <f t="shared" si="0"/>
        <v>2679295.8882495947</v>
      </c>
    </row>
    <row r="59" spans="1:9" x14ac:dyDescent="0.3">
      <c r="A59" s="3">
        <v>69</v>
      </c>
      <c r="B59" s="6">
        <f t="shared" si="1"/>
        <v>2679295.8882495947</v>
      </c>
      <c r="C59" s="6"/>
      <c r="D59" s="6"/>
      <c r="E59" s="6"/>
      <c r="F59" s="6"/>
      <c r="G59" s="6">
        <f t="shared" si="7"/>
        <v>2250595.2043499849</v>
      </c>
      <c r="H59" s="6">
        <f t="shared" si="8"/>
        <v>368144.07008858875</v>
      </c>
      <c r="I59" s="6">
        <f t="shared" si="0"/>
        <v>2618739.2744385735</v>
      </c>
    </row>
    <row r="60" spans="1:9" x14ac:dyDescent="0.3">
      <c r="A60" s="3">
        <v>70</v>
      </c>
      <c r="B60" s="6">
        <f t="shared" si="1"/>
        <v>2618739.2744385735</v>
      </c>
      <c r="C60" s="6"/>
      <c r="D60" s="6"/>
      <c r="E60" s="6"/>
      <c r="F60" s="6"/>
      <c r="G60" s="6">
        <f t="shared" si="7"/>
        <v>2167746.154976184</v>
      </c>
      <c r="H60" s="6">
        <f t="shared" si="8"/>
        <v>387287.56173319538</v>
      </c>
      <c r="I60" s="6">
        <f t="shared" si="0"/>
        <v>2555033.7167093796</v>
      </c>
    </row>
    <row r="61" spans="1:9" x14ac:dyDescent="0.3">
      <c r="A61" s="3">
        <v>71</v>
      </c>
      <c r="B61" s="6">
        <f t="shared" si="1"/>
        <v>2555033.7167093796</v>
      </c>
      <c r="C61" s="6"/>
      <c r="D61" s="8"/>
      <c r="E61" s="6"/>
      <c r="F61" s="6"/>
      <c r="G61" s="6">
        <f t="shared" si="7"/>
        <v>2080588.9550349456</v>
      </c>
      <c r="H61" s="6">
        <f t="shared" si="8"/>
        <v>407426.51494332158</v>
      </c>
      <c r="I61" s="6">
        <f t="shared" si="0"/>
        <v>2488015.4699782673</v>
      </c>
    </row>
    <row r="62" spans="1:9" x14ac:dyDescent="0.3">
      <c r="A62" s="3">
        <v>72</v>
      </c>
      <c r="B62" s="6">
        <f t="shared" si="1"/>
        <v>2488015.4699782673</v>
      </c>
      <c r="C62" s="6"/>
      <c r="D62" s="6"/>
      <c r="E62" s="6"/>
      <c r="F62" s="6"/>
      <c r="G62" s="6">
        <f t="shared" si="7"/>
        <v>1988899.5806967628</v>
      </c>
      <c r="H62" s="6">
        <f t="shared" si="8"/>
        <v>428612.69372037431</v>
      </c>
      <c r="I62" s="6">
        <f t="shared" si="0"/>
        <v>2417512.2744171373</v>
      </c>
    </row>
    <row r="63" spans="1:9" x14ac:dyDescent="0.3">
      <c r="A63" s="3">
        <v>73</v>
      </c>
      <c r="B63" s="6">
        <f t="shared" si="1"/>
        <v>2417512.2744171373</v>
      </c>
      <c r="C63" s="6"/>
      <c r="D63" s="6"/>
      <c r="E63" s="6"/>
      <c r="F63" s="6"/>
      <c r="G63" s="6">
        <f t="shared" si="7"/>
        <v>1892442.3588929945</v>
      </c>
      <c r="H63" s="6">
        <f t="shared" si="8"/>
        <v>450900.55379383382</v>
      </c>
      <c r="I63" s="6">
        <f t="shared" si="0"/>
        <v>2343342.9126868285</v>
      </c>
    </row>
    <row r="64" spans="1:9" x14ac:dyDescent="0.3">
      <c r="A64" s="3">
        <v>74</v>
      </c>
      <c r="B64" s="6">
        <f t="shared" si="1"/>
        <v>2343342.9126868285</v>
      </c>
      <c r="C64" s="6"/>
      <c r="D64" s="6"/>
      <c r="E64" s="6"/>
      <c r="F64" s="6"/>
      <c r="G64" s="6">
        <f t="shared" si="7"/>
        <v>1790969.3615554303</v>
      </c>
      <c r="H64" s="6">
        <f t="shared" si="8"/>
        <v>474347.38259111322</v>
      </c>
      <c r="I64" s="6">
        <f t="shared" si="0"/>
        <v>2265316.7441465436</v>
      </c>
    </row>
    <row r="65" spans="1:9" x14ac:dyDescent="0.3">
      <c r="A65" s="3">
        <v>75</v>
      </c>
      <c r="B65" s="6">
        <f t="shared" si="1"/>
        <v>2265316.7441465436</v>
      </c>
      <c r="C65" s="6"/>
      <c r="D65" s="6"/>
      <c r="E65" s="6"/>
      <c r="F65" s="6"/>
      <c r="G65" s="6">
        <f t="shared" si="7"/>
        <v>1684219.7683563128</v>
      </c>
      <c r="H65" s="6">
        <f t="shared" si="8"/>
        <v>499013.44648585113</v>
      </c>
      <c r="I65" s="6">
        <f t="shared" si="0"/>
        <v>2183233.214842164</v>
      </c>
    </row>
    <row r="66" spans="1:9" x14ac:dyDescent="0.3">
      <c r="A66" s="3">
        <v>76</v>
      </c>
      <c r="B66" s="6">
        <f t="shared" si="1"/>
        <v>2183233.214842164</v>
      </c>
      <c r="C66" s="6"/>
      <c r="D66" s="6"/>
      <c r="E66" s="6"/>
      <c r="F66" s="6"/>
      <c r="G66" s="6">
        <f t="shared" si="7"/>
        <v>1571919.196310841</v>
      </c>
      <c r="H66" s="6">
        <f t="shared" si="8"/>
        <v>524962.14570311538</v>
      </c>
      <c r="I66" s="6">
        <f t="shared" si="0"/>
        <v>2096881.3420139565</v>
      </c>
    </row>
    <row r="67" spans="1:9" x14ac:dyDescent="0.3">
      <c r="A67" s="3">
        <v>77</v>
      </c>
      <c r="B67" s="6">
        <f t="shared" si="1"/>
        <v>2096881.3420139565</v>
      </c>
      <c r="C67" s="6"/>
      <c r="D67" s="6"/>
      <c r="E67" s="6"/>
      <c r="F67" s="6"/>
      <c r="G67" s="6">
        <f t="shared" si="7"/>
        <v>1453778.9945190048</v>
      </c>
      <c r="H67" s="6">
        <f t="shared" si="8"/>
        <v>552260.17727967736</v>
      </c>
      <c r="I67" s="6">
        <f t="shared" si="0"/>
        <v>2006039.1717986823</v>
      </c>
    </row>
    <row r="68" spans="1:9" x14ac:dyDescent="0.3">
      <c r="A68" s="3">
        <v>78</v>
      </c>
      <c r="B68" s="6">
        <f t="shared" si="1"/>
        <v>2006039.1717986823</v>
      </c>
      <c r="C68" s="6"/>
      <c r="D68" s="6"/>
      <c r="E68" s="6"/>
      <c r="F68" s="6"/>
      <c r="G68" s="6">
        <f t="shared" si="7"/>
        <v>1329495.502233993</v>
      </c>
      <c r="H68" s="6">
        <f t="shared" si="8"/>
        <v>580977.70649822056</v>
      </c>
      <c r="I68" s="6">
        <f t="shared" si="0"/>
        <v>1910473.2087322136</v>
      </c>
    </row>
    <row r="69" spans="1:9" x14ac:dyDescent="0.3">
      <c r="A69" s="3">
        <v>79</v>
      </c>
      <c r="B69" s="6">
        <f t="shared" si="1"/>
        <v>1910473.2087322136</v>
      </c>
      <c r="C69" s="6"/>
      <c r="D69" s="6"/>
      <c r="E69" s="6"/>
      <c r="F69" s="6"/>
      <c r="G69" s="6">
        <f t="shared" si="7"/>
        <v>1198749.2683501607</v>
      </c>
      <c r="H69" s="6">
        <f t="shared" si="8"/>
        <v>611188.54723612801</v>
      </c>
      <c r="I69" s="6">
        <f t="shared" si="0"/>
        <v>1809937.8155862887</v>
      </c>
    </row>
    <row r="70" spans="1:9" x14ac:dyDescent="0.3">
      <c r="A70" s="3">
        <v>80</v>
      </c>
      <c r="B70" s="6">
        <f t="shared" si="1"/>
        <v>1809937.8155862887</v>
      </c>
      <c r="C70" s="6"/>
      <c r="D70" s="6"/>
      <c r="E70" s="6"/>
      <c r="F70" s="6"/>
      <c r="G70" s="6">
        <f t="shared" si="7"/>
        <v>1061204.230304369</v>
      </c>
      <c r="H70" s="6">
        <f t="shared" si="8"/>
        <v>642970.35169240669</v>
      </c>
      <c r="I70" s="6">
        <f t="shared" si="0"/>
        <v>1704174.5819967757</v>
      </c>
    </row>
    <row r="71" spans="1:9" x14ac:dyDescent="0.3">
      <c r="A71" s="3">
        <v>81</v>
      </c>
      <c r="B71" s="6">
        <f t="shared" si="1"/>
        <v>1704174.5819967757</v>
      </c>
      <c r="C71" s="6"/>
      <c r="D71" s="6"/>
      <c r="E71" s="6"/>
      <c r="F71" s="6"/>
      <c r="G71" s="6">
        <f t="shared" si="7"/>
        <v>916506.85028019629</v>
      </c>
      <c r="H71" s="6">
        <f t="shared" si="8"/>
        <v>676404.8099804119</v>
      </c>
      <c r="I71" s="6">
        <f t="shared" si="0"/>
        <v>1592911.6602606082</v>
      </c>
    </row>
    <row r="72" spans="1:9" x14ac:dyDescent="0.3">
      <c r="A72" s="3">
        <v>82</v>
      </c>
      <c r="B72" s="6">
        <f t="shared" si="1"/>
        <v>1592911.6602606082</v>
      </c>
      <c r="C72" s="6"/>
      <c r="D72" s="6"/>
      <c r="E72" s="6"/>
      <c r="F72" s="6"/>
      <c r="G72" s="6">
        <f t="shared" si="7"/>
        <v>764285.20649476652</v>
      </c>
      <c r="H72" s="6">
        <f t="shared" si="8"/>
        <v>711577.86009939329</v>
      </c>
      <c r="I72" s="6">
        <f t="shared" si="0"/>
        <v>1475863.0665941597</v>
      </c>
    </row>
    <row r="73" spans="1:9" x14ac:dyDescent="0.3">
      <c r="A73" s="3">
        <v>83</v>
      </c>
      <c r="B73" s="6">
        <f t="shared" si="1"/>
        <v>1475863.0665941597</v>
      </c>
      <c r="C73" s="6"/>
      <c r="D73" s="6"/>
      <c r="E73" s="6"/>
      <c r="F73" s="6"/>
      <c r="G73" s="6">
        <f t="shared" si="7"/>
        <v>604148.03723249445</v>
      </c>
      <c r="H73" s="6">
        <f t="shared" si="8"/>
        <v>748579.90882456175</v>
      </c>
      <c r="I73" s="6">
        <f t="shared" si="0"/>
        <v>1352727.9460570561</v>
      </c>
    </row>
    <row r="74" spans="1:9" x14ac:dyDescent="0.3">
      <c r="A74" s="3">
        <v>84</v>
      </c>
      <c r="B74" s="6">
        <f t="shared" si="1"/>
        <v>1352727.9460570561</v>
      </c>
      <c r="C74" s="6"/>
      <c r="D74" s="6"/>
      <c r="E74" s="6"/>
      <c r="F74" s="6"/>
      <c r="G74" s="6">
        <f t="shared" si="7"/>
        <v>435683.73516858416</v>
      </c>
      <c r="H74" s="6">
        <f t="shared" si="8"/>
        <v>787506.06408343895</v>
      </c>
      <c r="I74" s="6">
        <f t="shared" ref="I74:I80" si="9">E74+G74+H74</f>
        <v>1223189.799252023</v>
      </c>
    </row>
    <row r="75" spans="1:9" x14ac:dyDescent="0.3">
      <c r="A75" s="3">
        <v>85</v>
      </c>
      <c r="B75" s="6">
        <f t="shared" si="1"/>
        <v>1223189.799252023</v>
      </c>
      <c r="C75" s="6"/>
      <c r="D75" s="6"/>
      <c r="E75" s="6"/>
      <c r="F75" s="6"/>
      <c r="G75" s="6">
        <f t="shared" si="7"/>
        <v>258459.28939735054</v>
      </c>
      <c r="H75" s="6">
        <f>(H74-$B$5)*(1+$B$3)</f>
        <v>628576.37941577774</v>
      </c>
      <c r="I75" s="6">
        <f t="shared" si="9"/>
        <v>887035.66881312826</v>
      </c>
    </row>
    <row r="76" spans="1:9" x14ac:dyDescent="0.3">
      <c r="A76" s="3">
        <v>86</v>
      </c>
      <c r="B76" s="6">
        <f t="shared" si="1"/>
        <v>887035.66881312826</v>
      </c>
      <c r="C76" s="6"/>
      <c r="D76" s="6"/>
      <c r="E76" s="6"/>
      <c r="F76" s="6"/>
      <c r="G76" s="6">
        <f t="shared" si="7"/>
        <v>72019.172446012773</v>
      </c>
      <c r="H76" s="6">
        <f t="shared" si="8"/>
        <v>661262.35114539822</v>
      </c>
      <c r="I76" s="6">
        <f t="shared" si="9"/>
        <v>733281.52359141095</v>
      </c>
    </row>
    <row r="77" spans="1:9" x14ac:dyDescent="0.3">
      <c r="A77" s="3">
        <v>87</v>
      </c>
      <c r="B77" s="6">
        <f t="shared" si="1"/>
        <v>733281.52359141095</v>
      </c>
      <c r="C77" s="6"/>
      <c r="D77" s="6"/>
      <c r="E77" s="6"/>
      <c r="F77" s="6"/>
      <c r="G77" s="6">
        <f>G76*(1+$B$3)</f>
        <v>75764.16941320544</v>
      </c>
      <c r="H77" s="6">
        <f>(H76-$B$5)*(1+$B$3)</f>
        <v>495767.99340495898</v>
      </c>
      <c r="I77" s="6">
        <f t="shared" si="9"/>
        <v>571532.16281816445</v>
      </c>
    </row>
    <row r="78" spans="1:9" x14ac:dyDescent="0.3">
      <c r="A78" s="3">
        <v>88</v>
      </c>
      <c r="B78" s="6">
        <f t="shared" si="1"/>
        <v>571532.16281816445</v>
      </c>
      <c r="C78" s="6"/>
      <c r="D78" s="6"/>
      <c r="E78" s="6"/>
      <c r="F78" s="6"/>
      <c r="G78" s="6">
        <f t="shared" ref="G78:G79" si="10">G77*(1+$B$3)</f>
        <v>79703.906222692123</v>
      </c>
      <c r="H78" s="6">
        <f t="shared" ref="H78:H79" si="11">(H77-$B$5)*(1+$B$3)</f>
        <v>321667.92906201683</v>
      </c>
      <c r="I78" s="6">
        <f t="shared" si="9"/>
        <v>401371.83528470894</v>
      </c>
    </row>
    <row r="79" spans="1:9" x14ac:dyDescent="0.3">
      <c r="A79" s="3">
        <v>89</v>
      </c>
      <c r="B79" s="6">
        <f t="shared" si="1"/>
        <v>401371.83528470894</v>
      </c>
      <c r="C79" s="6"/>
      <c r="D79" s="6"/>
      <c r="E79" s="6"/>
      <c r="F79" s="6"/>
      <c r="G79" s="6">
        <f t="shared" si="10"/>
        <v>83848.509346272112</v>
      </c>
      <c r="H79" s="6">
        <f t="shared" si="11"/>
        <v>138514.66137324172</v>
      </c>
      <c r="I79" s="6">
        <f t="shared" si="9"/>
        <v>222363.17071951384</v>
      </c>
    </row>
    <row r="80" spans="1:9" x14ac:dyDescent="0.3">
      <c r="A80" s="3">
        <v>90</v>
      </c>
      <c r="B80" s="6">
        <f t="shared" si="1"/>
        <v>222363.17071951384</v>
      </c>
      <c r="C80" s="6"/>
      <c r="D80" s="6"/>
      <c r="E80" s="6"/>
      <c r="F80" s="6"/>
      <c r="G80" s="6">
        <f>G79-($B$5-H79)</f>
        <v>32363.17071951383</v>
      </c>
      <c r="H80" s="6">
        <f>0</f>
        <v>0</v>
      </c>
      <c r="I80" s="6">
        <f t="shared" si="9"/>
        <v>32363.17071951383</v>
      </c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="60" zoomScaleNormal="100" workbookViewId="0">
      <selection sqref="A1:XFD1048576"/>
    </sheetView>
  </sheetViews>
  <sheetFormatPr defaultColWidth="38.5703125" defaultRowHeight="13.5" x14ac:dyDescent="0.3"/>
  <cols>
    <col min="1" max="1" width="27.7109375" style="3" customWidth="1"/>
    <col min="2" max="2" width="13.42578125" style="3" bestFit="1" customWidth="1"/>
    <col min="3" max="3" width="17.7109375" style="3" bestFit="1" customWidth="1"/>
    <col min="4" max="4" width="15.85546875" style="3" bestFit="1" customWidth="1"/>
    <col min="5" max="5" width="15.140625" style="3" bestFit="1" customWidth="1"/>
    <col min="6" max="6" width="14.5703125" style="3" bestFit="1" customWidth="1"/>
    <col min="7" max="7" width="14.85546875" style="3" bestFit="1" customWidth="1"/>
    <col min="8" max="8" width="15.85546875" style="3" bestFit="1" customWidth="1"/>
    <col min="9" max="9" width="9.5703125" style="3" bestFit="1" customWidth="1"/>
    <col min="10" max="16384" width="38.5703125" style="3"/>
  </cols>
  <sheetData>
    <row r="1" spans="1:9" x14ac:dyDescent="0.3">
      <c r="A1" s="3" t="s">
        <v>13</v>
      </c>
    </row>
    <row r="3" spans="1:9" x14ac:dyDescent="0.3">
      <c r="A3" s="3" t="s">
        <v>5</v>
      </c>
      <c r="B3" s="4">
        <f>0.052</f>
        <v>5.1999999999999998E-2</v>
      </c>
    </row>
    <row r="4" spans="1:9" x14ac:dyDescent="0.3">
      <c r="A4" s="3" t="s">
        <v>8</v>
      </c>
      <c r="B4" s="5">
        <f>0.0466</f>
        <v>4.6600000000000003E-2</v>
      </c>
    </row>
    <row r="5" spans="1:9" x14ac:dyDescent="0.3">
      <c r="A5" s="3" t="s">
        <v>9</v>
      </c>
      <c r="B5" s="6">
        <f>200000</f>
        <v>200000</v>
      </c>
    </row>
    <row r="7" spans="1:9" x14ac:dyDescent="0.3">
      <c r="A7" s="7" t="s">
        <v>0</v>
      </c>
      <c r="B7" s="7" t="s">
        <v>2</v>
      </c>
      <c r="C7" s="7" t="s">
        <v>3</v>
      </c>
      <c r="D7" s="7" t="s">
        <v>7</v>
      </c>
      <c r="E7" s="7" t="s">
        <v>6</v>
      </c>
      <c r="F7" s="7" t="s">
        <v>1</v>
      </c>
      <c r="G7" s="7" t="s">
        <v>4</v>
      </c>
      <c r="H7" s="7" t="s">
        <v>10</v>
      </c>
      <c r="I7" s="7" t="s">
        <v>12</v>
      </c>
    </row>
    <row r="8" spans="1:9" x14ac:dyDescent="0.3">
      <c r="A8" s="3">
        <v>18</v>
      </c>
      <c r="B8" s="6">
        <v>0</v>
      </c>
      <c r="C8" s="6">
        <v>0</v>
      </c>
      <c r="D8" s="6">
        <v>0</v>
      </c>
      <c r="E8" s="6">
        <f>SUM($C$8:C8)*(1+$B$4)</f>
        <v>0</v>
      </c>
      <c r="F8" s="6"/>
      <c r="G8" s="6"/>
      <c r="H8" s="6"/>
      <c r="I8" s="6">
        <f>E8+G8+H8</f>
        <v>0</v>
      </c>
    </row>
    <row r="9" spans="1:9" x14ac:dyDescent="0.3">
      <c r="A9" s="3">
        <v>19</v>
      </c>
      <c r="B9" s="6">
        <f>I8</f>
        <v>0</v>
      </c>
      <c r="C9" s="6">
        <v>0</v>
      </c>
      <c r="D9" s="6">
        <v>0</v>
      </c>
      <c r="E9" s="6">
        <f>(E8+C9)*(1+$B$4)</f>
        <v>0</v>
      </c>
      <c r="F9" s="6"/>
      <c r="G9" s="6"/>
      <c r="H9" s="6"/>
      <c r="I9" s="6">
        <f>E9+G9+H9</f>
        <v>0</v>
      </c>
    </row>
    <row r="10" spans="1:9" x14ac:dyDescent="0.3">
      <c r="A10" s="3">
        <v>20</v>
      </c>
      <c r="B10" s="6">
        <f>I9</f>
        <v>0</v>
      </c>
      <c r="C10" s="6">
        <v>0</v>
      </c>
      <c r="D10" s="6">
        <v>0</v>
      </c>
      <c r="E10" s="6">
        <f>(E9+C10)*(1+$B$4)</f>
        <v>0</v>
      </c>
      <c r="F10" s="6"/>
      <c r="G10" s="6"/>
      <c r="H10" s="6"/>
      <c r="I10" s="6">
        <f t="shared" ref="I10:I72" si="0">E10+G10+H10</f>
        <v>0</v>
      </c>
    </row>
    <row r="11" spans="1:9" x14ac:dyDescent="0.3">
      <c r="A11" s="3">
        <v>21</v>
      </c>
      <c r="B11" s="6">
        <f>I10</f>
        <v>0</v>
      </c>
      <c r="C11" s="6">
        <v>0</v>
      </c>
      <c r="D11" s="6">
        <v>0</v>
      </c>
      <c r="E11" s="6">
        <f>(E10+C11)*(1+$B$4)</f>
        <v>0</v>
      </c>
      <c r="F11" s="6"/>
      <c r="G11" s="6"/>
      <c r="H11" s="6"/>
      <c r="I11" s="6">
        <f t="shared" si="0"/>
        <v>0</v>
      </c>
    </row>
    <row r="12" spans="1:9" x14ac:dyDescent="0.3">
      <c r="A12" s="3">
        <v>22</v>
      </c>
      <c r="B12" s="6">
        <f>I11+(-$B$11/25)</f>
        <v>0</v>
      </c>
      <c r="C12" s="6"/>
      <c r="D12" s="6">
        <v>0</v>
      </c>
      <c r="E12" s="6">
        <v>0</v>
      </c>
      <c r="F12" s="6"/>
      <c r="G12" s="6"/>
      <c r="H12" s="6"/>
      <c r="I12" s="6">
        <f t="shared" si="0"/>
        <v>0</v>
      </c>
    </row>
    <row r="13" spans="1:9" x14ac:dyDescent="0.3">
      <c r="A13" s="3">
        <v>23</v>
      </c>
      <c r="B13" s="6">
        <f>I12+(-$B$11/25)</f>
        <v>0</v>
      </c>
      <c r="C13" s="6"/>
      <c r="D13" s="6">
        <v>0</v>
      </c>
      <c r="E13" s="6">
        <v>0</v>
      </c>
      <c r="F13" s="6"/>
      <c r="G13" s="6"/>
      <c r="H13" s="6"/>
      <c r="I13" s="6">
        <f t="shared" si="0"/>
        <v>0</v>
      </c>
    </row>
    <row r="14" spans="1:9" x14ac:dyDescent="0.3">
      <c r="A14" s="3">
        <v>24</v>
      </c>
      <c r="B14" s="6">
        <f>(I13*1.0466)</f>
        <v>0</v>
      </c>
      <c r="C14" s="6">
        <f>-30000</f>
        <v>-30000</v>
      </c>
      <c r="D14" s="6">
        <v>0</v>
      </c>
      <c r="E14" s="6">
        <f>(E13+C14)*(1+$B$4)</f>
        <v>-31398</v>
      </c>
      <c r="F14" s="6"/>
      <c r="G14" s="6"/>
      <c r="H14" s="6"/>
      <c r="I14" s="6">
        <f t="shared" si="0"/>
        <v>-31398</v>
      </c>
    </row>
    <row r="15" spans="1:9" x14ac:dyDescent="0.3">
      <c r="A15" s="3">
        <v>25</v>
      </c>
      <c r="B15" s="6">
        <f>(I14*1.0466)</f>
        <v>-32861.146800000002</v>
      </c>
      <c r="C15" s="6">
        <f>-30000</f>
        <v>-30000</v>
      </c>
      <c r="D15" s="6">
        <v>0</v>
      </c>
      <c r="E15" s="6">
        <f>(E14+C15)*(1+$B$4)</f>
        <v>-64259.146799999995</v>
      </c>
      <c r="F15" s="6"/>
      <c r="G15" s="6"/>
      <c r="H15" s="6"/>
      <c r="I15" s="6">
        <f t="shared" si="0"/>
        <v>-64259.146799999995</v>
      </c>
    </row>
    <row r="16" spans="1:9" x14ac:dyDescent="0.3">
      <c r="A16" s="3">
        <v>26</v>
      </c>
      <c r="B16" s="6">
        <f>I15</f>
        <v>-64259.146799999995</v>
      </c>
      <c r="C16" s="6"/>
      <c r="D16" s="6">
        <f t="shared" ref="D16:D40" si="1">PMT($B$4,25,64259,0,1)*-1</f>
        <v>4209.0728952521822</v>
      </c>
      <c r="E16" s="6">
        <f>E15-(PPMT($B$4,1,25,64259,0))</f>
        <v>-62848.400507829065</v>
      </c>
      <c r="F16" s="6">
        <f>17500</f>
        <v>17500</v>
      </c>
      <c r="G16" s="6">
        <f>F16*(1+$B$3)</f>
        <v>18410</v>
      </c>
      <c r="H16" s="6"/>
      <c r="I16" s="6">
        <f t="shared" si="0"/>
        <v>-44438.400507829065</v>
      </c>
    </row>
    <row r="17" spans="1:9" x14ac:dyDescent="0.3">
      <c r="A17" s="3">
        <v>27</v>
      </c>
      <c r="B17" s="6">
        <f t="shared" ref="B17:B80" si="2">I16</f>
        <v>-44438.400507829065</v>
      </c>
      <c r="C17" s="6"/>
      <c r="D17" s="6">
        <f t="shared" si="1"/>
        <v>4209.0728952521822</v>
      </c>
      <c r="E17" s="6">
        <f>E16-(PPMT($B$4,2,25,64259,0))</f>
        <v>-61371.913438442964</v>
      </c>
      <c r="F17" s="6">
        <f>17500</f>
        <v>17500</v>
      </c>
      <c r="G17" s="6">
        <f>(G16+F16)*(1+$B$3)</f>
        <v>37777.32</v>
      </c>
      <c r="H17" s="6"/>
      <c r="I17" s="6">
        <f>E17+G17+H17</f>
        <v>-23594.593438442964</v>
      </c>
    </row>
    <row r="18" spans="1:9" x14ac:dyDescent="0.3">
      <c r="A18" s="3">
        <v>28</v>
      </c>
      <c r="B18" s="6">
        <f t="shared" si="2"/>
        <v>-23594.593438442964</v>
      </c>
      <c r="C18" s="6"/>
      <c r="D18" s="6">
        <f t="shared" si="1"/>
        <v>4209.0728952521822</v>
      </c>
      <c r="E18" s="6">
        <f>E17-(PPMT($B$4,3,25,64259,0))</f>
        <v>-59826.622071623475</v>
      </c>
      <c r="F18" s="6">
        <f>17500</f>
        <v>17500</v>
      </c>
      <c r="G18" s="6">
        <f t="shared" ref="G18:G55" si="3">(G17+F17)*(1+$B$3)</f>
        <v>58151.740640000004</v>
      </c>
      <c r="H18" s="6"/>
      <c r="I18" s="6">
        <f t="shared" si="0"/>
        <v>-1674.8814316234711</v>
      </c>
    </row>
    <row r="19" spans="1:9" x14ac:dyDescent="0.3">
      <c r="A19" s="3">
        <v>29</v>
      </c>
      <c r="B19" s="6">
        <f t="shared" si="2"/>
        <v>-1674.8814316234711</v>
      </c>
      <c r="C19" s="6"/>
      <c r="D19" s="6">
        <f t="shared" si="1"/>
        <v>4209.0728952521822</v>
      </c>
      <c r="E19" s="6">
        <f>E18-(PPMT($B$4,4,25,64259,0))</f>
        <v>-58209.320127110193</v>
      </c>
      <c r="F19" s="6">
        <f>17500</f>
        <v>17500</v>
      </c>
      <c r="G19" s="6">
        <f t="shared" si="3"/>
        <v>79585.631153280003</v>
      </c>
      <c r="H19" s="6"/>
      <c r="I19" s="6">
        <f t="shared" si="0"/>
        <v>21376.311026169809</v>
      </c>
    </row>
    <row r="20" spans="1:9" x14ac:dyDescent="0.3">
      <c r="A20" s="3">
        <v>30</v>
      </c>
      <c r="B20" s="6">
        <f t="shared" si="2"/>
        <v>21376.311026169809</v>
      </c>
      <c r="C20" s="6"/>
      <c r="D20" s="6">
        <f t="shared" si="1"/>
        <v>4209.0728952521822</v>
      </c>
      <c r="E20" s="6">
        <f>E19-(PPMT($B$4,5,25,64259,0))</f>
        <v>-56516.651911982597</v>
      </c>
      <c r="F20" s="6">
        <f>17500</f>
        <v>17500</v>
      </c>
      <c r="G20" s="6">
        <f t="shared" si="3"/>
        <v>102134.08397325057</v>
      </c>
      <c r="H20" s="6">
        <v>50000</v>
      </c>
      <c r="I20" s="6">
        <f>E20+G20+H20</f>
        <v>95617.432061267973</v>
      </c>
    </row>
    <row r="21" spans="1:9" x14ac:dyDescent="0.3">
      <c r="A21" s="3">
        <v>31</v>
      </c>
      <c r="B21" s="6">
        <f t="shared" si="2"/>
        <v>95617.432061267973</v>
      </c>
      <c r="C21" s="6"/>
      <c r="D21" s="6">
        <f t="shared" si="1"/>
        <v>4209.0728952521822</v>
      </c>
      <c r="E21" s="6">
        <f>E20-(PPMT($B$4,6,25,64259,0))</f>
        <v>-54745.10535803005</v>
      </c>
      <c r="F21" s="6">
        <f>17500</f>
        <v>17500</v>
      </c>
      <c r="G21" s="6">
        <f t="shared" si="3"/>
        <v>125855.0563398596</v>
      </c>
      <c r="H21" s="6">
        <f>H20*(1+$B$3)</f>
        <v>52600</v>
      </c>
      <c r="I21" s="6">
        <f>E21+G21+H21</f>
        <v>123709.95098182955</v>
      </c>
    </row>
    <row r="22" spans="1:9" x14ac:dyDescent="0.3">
      <c r="A22" s="3">
        <v>32</v>
      </c>
      <c r="B22" s="6">
        <f t="shared" si="2"/>
        <v>123709.95098182955</v>
      </c>
      <c r="C22" s="6"/>
      <c r="D22" s="6">
        <f t="shared" si="1"/>
        <v>4209.0728952521822</v>
      </c>
      <c r="E22" s="6">
        <f>E21-(PPMT($B$4,7,25,64259,0))</f>
        <v>-52891.004734663315</v>
      </c>
      <c r="F22" s="6">
        <f>17500</f>
        <v>17500</v>
      </c>
      <c r="G22" s="6">
        <f t="shared" si="3"/>
        <v>150809.51926953232</v>
      </c>
      <c r="H22" s="6">
        <f t="shared" ref="H22:H49" si="4">H21*(1+$B$3)</f>
        <v>55335.200000000004</v>
      </c>
      <c r="I22" s="6">
        <f t="shared" ref="I22:I55" si="5">E22+G22+H22</f>
        <v>153253.71453486901</v>
      </c>
    </row>
    <row r="23" spans="1:9" x14ac:dyDescent="0.3">
      <c r="A23" s="3">
        <v>33</v>
      </c>
      <c r="B23" s="6">
        <f t="shared" si="2"/>
        <v>153253.71453486901</v>
      </c>
      <c r="C23" s="6"/>
      <c r="D23" s="6">
        <f t="shared" si="1"/>
        <v>4209.0728952521822</v>
      </c>
      <c r="E23" s="6">
        <f>E22-(PPMT($B$4,8,25,64259,0))</f>
        <v>-50950.503022247693</v>
      </c>
      <c r="F23" s="6">
        <f>17500</f>
        <v>17500</v>
      </c>
      <c r="G23" s="6">
        <f t="shared" si="3"/>
        <v>177061.61427154799</v>
      </c>
      <c r="H23" s="6">
        <f t="shared" si="4"/>
        <v>58212.630400000009</v>
      </c>
      <c r="I23" s="6">
        <f t="shared" si="5"/>
        <v>184323.74164930033</v>
      </c>
    </row>
    <row r="24" spans="1:9" x14ac:dyDescent="0.3">
      <c r="A24" s="3">
        <v>34</v>
      </c>
      <c r="B24" s="6">
        <f t="shared" si="2"/>
        <v>184323.74164930033</v>
      </c>
      <c r="C24" s="6"/>
      <c r="D24" s="6">
        <f t="shared" si="1"/>
        <v>4209.0728952521822</v>
      </c>
      <c r="E24" s="6">
        <f>E23-(PPMT($B$4,9,25,64259,0))</f>
        <v>-48919.573930033504</v>
      </c>
      <c r="F24" s="6">
        <f>17500</f>
        <v>17500</v>
      </c>
      <c r="G24" s="6">
        <f t="shared" si="3"/>
        <v>204678.81821366851</v>
      </c>
      <c r="H24" s="6">
        <f t="shared" si="4"/>
        <v>61239.687180800014</v>
      </c>
      <c r="I24" s="6">
        <f t="shared" si="5"/>
        <v>216998.93146443501</v>
      </c>
    </row>
    <row r="25" spans="1:9" x14ac:dyDescent="0.3">
      <c r="A25" s="3">
        <v>35</v>
      </c>
      <c r="B25" s="6">
        <f t="shared" si="2"/>
        <v>216998.93146443501</v>
      </c>
      <c r="C25" s="6"/>
      <c r="D25" s="6">
        <f t="shared" si="1"/>
        <v>4209.0728952521822</v>
      </c>
      <c r="E25" s="6">
        <f>E24-(PPMT($B$4,10,25,64259,0))</f>
        <v>-46794.003542122133</v>
      </c>
      <c r="F25" s="6">
        <f>17500</f>
        <v>17500</v>
      </c>
      <c r="G25" s="6">
        <f t="shared" si="3"/>
        <v>233732.11676077929</v>
      </c>
      <c r="H25" s="6">
        <f t="shared" si="4"/>
        <v>64424.150914201615</v>
      </c>
      <c r="I25" s="6">
        <f t="shared" si="5"/>
        <v>251362.26413285878</v>
      </c>
    </row>
    <row r="26" spans="1:9" x14ac:dyDescent="0.3">
      <c r="A26" s="3">
        <v>36</v>
      </c>
      <c r="B26" s="6">
        <f t="shared" si="2"/>
        <v>251362.26413285878</v>
      </c>
      <c r="C26" s="6"/>
      <c r="D26" s="6">
        <f t="shared" si="1"/>
        <v>4209.0728952521822</v>
      </c>
      <c r="E26" s="6">
        <f>E25-(PPMT($B$4,11,25,64259,0))</f>
        <v>-44569.381574134095</v>
      </c>
      <c r="F26" s="6">
        <f>17500</f>
        <v>17500</v>
      </c>
      <c r="G26" s="6">
        <f t="shared" si="3"/>
        <v>264296.18683233985</v>
      </c>
      <c r="H26" s="6">
        <f t="shared" si="4"/>
        <v>67774.206761740104</v>
      </c>
      <c r="I26" s="6">
        <f t="shared" si="5"/>
        <v>287501.01201994583</v>
      </c>
    </row>
    <row r="27" spans="1:9" x14ac:dyDescent="0.3">
      <c r="A27" s="3">
        <v>37</v>
      </c>
      <c r="B27" s="6">
        <f t="shared" si="2"/>
        <v>287501.01201994583</v>
      </c>
      <c r="C27" s="6"/>
      <c r="D27" s="6">
        <f t="shared" si="1"/>
        <v>4209.0728952521822</v>
      </c>
      <c r="E27" s="6">
        <f>E26-(PPMT($B$4,12,25,64259,0))</f>
        <v>-42241.092222437808</v>
      </c>
      <c r="F27" s="6">
        <f>17500</f>
        <v>17500</v>
      </c>
      <c r="G27" s="6">
        <f t="shared" si="3"/>
        <v>296449.58854762156</v>
      </c>
      <c r="H27" s="6">
        <f t="shared" si="4"/>
        <v>71298.465513350588</v>
      </c>
      <c r="I27" s="6">
        <f t="shared" si="5"/>
        <v>325506.96183853433</v>
      </c>
    </row>
    <row r="28" spans="1:9" x14ac:dyDescent="0.3">
      <c r="A28" s="3">
        <v>38</v>
      </c>
      <c r="B28" s="6">
        <f t="shared" si="2"/>
        <v>325506.96183853433</v>
      </c>
      <c r="C28" s="6"/>
      <c r="D28" s="6">
        <f t="shared" si="1"/>
        <v>4209.0728952521822</v>
      </c>
      <c r="E28" s="6">
        <f>E27-(PPMT($B$4,13,25,64259,0))</f>
        <v>-39804.304586952479</v>
      </c>
      <c r="F28" s="6">
        <f>17500</f>
        <v>17500</v>
      </c>
      <c r="G28" s="6">
        <f t="shared" si="3"/>
        <v>330274.9671520979</v>
      </c>
      <c r="H28" s="6">
        <f t="shared" si="4"/>
        <v>75005.985720044817</v>
      </c>
      <c r="I28" s="6">
        <f t="shared" si="5"/>
        <v>365476.64828519023</v>
      </c>
    </row>
    <row r="29" spans="1:9" x14ac:dyDescent="0.3">
      <c r="A29" s="3">
        <v>39</v>
      </c>
      <c r="B29" s="6">
        <f t="shared" si="2"/>
        <v>365476.64828519023</v>
      </c>
      <c r="C29" s="6"/>
      <c r="D29" s="6">
        <f t="shared" si="1"/>
        <v>4209.0728952521822</v>
      </c>
      <c r="E29" s="6">
        <f>E28-(PPMT($B$4,14,25,64259,0))</f>
        <v>-37253.962647653534</v>
      </c>
      <c r="F29" s="6">
        <f>17500</f>
        <v>17500</v>
      </c>
      <c r="G29" s="6">
        <f t="shared" si="3"/>
        <v>365859.265444007</v>
      </c>
      <c r="H29" s="6">
        <f t="shared" si="4"/>
        <v>78906.296977487145</v>
      </c>
      <c r="I29" s="6">
        <f t="shared" si="5"/>
        <v>407511.59977384063</v>
      </c>
    </row>
    <row r="30" spans="1:9" x14ac:dyDescent="0.3">
      <c r="A30" s="3">
        <v>40</v>
      </c>
      <c r="B30" s="6">
        <f t="shared" si="2"/>
        <v>407511.59977384063</v>
      </c>
      <c r="C30" s="6"/>
      <c r="D30" s="6">
        <f t="shared" si="1"/>
        <v>4209.0728952521822</v>
      </c>
      <c r="E30" s="6">
        <f>E29-(PPMT($B$4,15,25,64259,0))</f>
        <v>-34584.774773983256</v>
      </c>
      <c r="F30" s="6">
        <f>17500</f>
        <v>17500</v>
      </c>
      <c r="G30" s="6">
        <f t="shared" si="3"/>
        <v>403293.94724709541</v>
      </c>
      <c r="H30" s="6">
        <f t="shared" si="4"/>
        <v>83009.424420316485</v>
      </c>
      <c r="I30" s="6">
        <f t="shared" si="5"/>
        <v>451718.59689342859</v>
      </c>
    </row>
    <row r="31" spans="1:9" x14ac:dyDescent="0.3">
      <c r="A31" s="3">
        <v>41</v>
      </c>
      <c r="B31" s="6">
        <f t="shared" si="2"/>
        <v>451718.59689342859</v>
      </c>
      <c r="C31" s="6"/>
      <c r="D31" s="6">
        <f t="shared" si="1"/>
        <v>4209.0728952521822</v>
      </c>
      <c r="E31" s="6">
        <f>E30-(PPMT($B$4,16,25,64259,0))</f>
        <v>-31791.202745399944</v>
      </c>
      <c r="F31" s="6">
        <f>17500</f>
        <v>17500</v>
      </c>
      <c r="G31" s="6">
        <f t="shared" si="3"/>
        <v>442675.23250394437</v>
      </c>
      <c r="H31" s="6">
        <f t="shared" si="4"/>
        <v>87325.914490172945</v>
      </c>
      <c r="I31" s="6">
        <f t="shared" si="5"/>
        <v>498209.94424871734</v>
      </c>
    </row>
    <row r="32" spans="1:9" x14ac:dyDescent="0.3">
      <c r="A32" s="3">
        <v>42</v>
      </c>
      <c r="B32" s="6">
        <f t="shared" si="2"/>
        <v>498209.94424871734</v>
      </c>
      <c r="C32" s="6"/>
      <c r="D32" s="6">
        <f t="shared" si="1"/>
        <v>4209.0728952521822</v>
      </c>
      <c r="E32" s="6">
        <f>E31-(PPMT($B$4,17,25,64259,0))</f>
        <v>-28867.450260284648</v>
      </c>
      <c r="F32" s="6">
        <f>17500</f>
        <v>17500</v>
      </c>
      <c r="G32" s="6">
        <f t="shared" si="3"/>
        <v>484104.3445941495</v>
      </c>
      <c r="H32" s="6">
        <f t="shared" si="4"/>
        <v>91866.862043661939</v>
      </c>
      <c r="I32" s="6">
        <f t="shared" si="5"/>
        <v>547103.75637752679</v>
      </c>
    </row>
    <row r="33" spans="1:9" x14ac:dyDescent="0.3">
      <c r="A33" s="3">
        <v>43</v>
      </c>
      <c r="B33" s="6">
        <f t="shared" si="2"/>
        <v>547103.75637752679</v>
      </c>
      <c r="C33" s="6"/>
      <c r="D33" s="6">
        <f t="shared" si="1"/>
        <v>4209.0728952521822</v>
      </c>
      <c r="E33" s="6">
        <f>E32-(PPMT($B$4,18,25,64259,0))</f>
        <v>-25807.450909362979</v>
      </c>
      <c r="F33" s="6">
        <f>17500</f>
        <v>17500</v>
      </c>
      <c r="G33" s="6">
        <f t="shared" si="3"/>
        <v>527687.77051304525</v>
      </c>
      <c r="H33" s="6">
        <f t="shared" si="4"/>
        <v>96643.938869932361</v>
      </c>
      <c r="I33" s="6">
        <f t="shared" si="5"/>
        <v>598524.25847361458</v>
      </c>
    </row>
    <row r="34" spans="1:9" x14ac:dyDescent="0.3">
      <c r="A34" s="3">
        <v>44</v>
      </c>
      <c r="B34" s="6">
        <f t="shared" si="2"/>
        <v>598524.25847361458</v>
      </c>
      <c r="C34" s="6"/>
      <c r="D34" s="6">
        <f t="shared" si="1"/>
        <v>4209.0728952521822</v>
      </c>
      <c r="E34" s="6">
        <f>E33-(PPMT($B$4,19,25,64259,0))</f>
        <v>-22604.855588688359</v>
      </c>
      <c r="F34" s="6">
        <f>17500</f>
        <v>17500</v>
      </c>
      <c r="G34" s="6">
        <f t="shared" si="3"/>
        <v>573537.53457972361</v>
      </c>
      <c r="H34" s="6">
        <f t="shared" si="4"/>
        <v>101669.42369116885</v>
      </c>
      <c r="I34" s="6">
        <f t="shared" si="5"/>
        <v>652602.1026822041</v>
      </c>
    </row>
    <row r="35" spans="1:9" x14ac:dyDescent="0.3">
      <c r="A35" s="3">
        <v>45</v>
      </c>
      <c r="B35" s="6">
        <f t="shared" si="2"/>
        <v>652602.1026822041</v>
      </c>
      <c r="C35" s="6"/>
      <c r="D35" s="6">
        <f t="shared" si="1"/>
        <v>4209.0728952521822</v>
      </c>
      <c r="E35" s="6">
        <f>E34-(PPMT($B$4,20,25,64259,0))</f>
        <v>-19253.019326070302</v>
      </c>
      <c r="F35" s="6">
        <f>17500</f>
        <v>17500</v>
      </c>
      <c r="G35" s="6">
        <f t="shared" si="3"/>
        <v>621771.48637786927</v>
      </c>
      <c r="H35" s="6">
        <f t="shared" si="4"/>
        <v>106956.23372310963</v>
      </c>
      <c r="I35" s="6">
        <f t="shared" si="5"/>
        <v>709474.70077490853</v>
      </c>
    </row>
    <row r="36" spans="1:9" x14ac:dyDescent="0.3">
      <c r="A36" s="3">
        <v>46</v>
      </c>
      <c r="B36" s="6">
        <f t="shared" si="2"/>
        <v>709474.70077490853</v>
      </c>
      <c r="C36" s="6"/>
      <c r="D36" s="6">
        <f t="shared" si="1"/>
        <v>4209.0728952521822</v>
      </c>
      <c r="E36" s="6">
        <f>E35-(PPMT($B$4,21,25,64259,0))</f>
        <v>-15744.987493614244</v>
      </c>
      <c r="F36" s="6">
        <f>17500</f>
        <v>17500</v>
      </c>
      <c r="G36" s="6">
        <f t="shared" si="3"/>
        <v>672513.60366951849</v>
      </c>
      <c r="H36" s="6">
        <f t="shared" si="4"/>
        <v>112517.95787671134</v>
      </c>
      <c r="I36" s="6">
        <f t="shared" si="5"/>
        <v>769286.57405261567</v>
      </c>
    </row>
    <row r="37" spans="1:9" x14ac:dyDescent="0.3">
      <c r="A37" s="3">
        <v>47</v>
      </c>
      <c r="B37" s="6">
        <f t="shared" si="2"/>
        <v>769286.57405261567</v>
      </c>
      <c r="C37" s="6"/>
      <c r="D37" s="6">
        <f t="shared" si="1"/>
        <v>4209.0728952521822</v>
      </c>
      <c r="E37" s="6">
        <f>E36-(PPMT($B$4,22,25,64259,0))</f>
        <v>-12073.481377765735</v>
      </c>
      <c r="F37" s="6">
        <f>17500</f>
        <v>17500</v>
      </c>
      <c r="G37" s="6">
        <f t="shared" si="3"/>
        <v>725894.31106033351</v>
      </c>
      <c r="H37" s="6">
        <f t="shared" si="4"/>
        <v>118368.89168630034</v>
      </c>
      <c r="I37" s="6">
        <f t="shared" si="5"/>
        <v>832189.72136886814</v>
      </c>
    </row>
    <row r="38" spans="1:9" x14ac:dyDescent="0.3">
      <c r="A38" s="3">
        <v>48</v>
      </c>
      <c r="B38" s="6">
        <f t="shared" si="2"/>
        <v>832189.72136886814</v>
      </c>
      <c r="C38" s="6"/>
      <c r="D38" s="6">
        <f t="shared" si="1"/>
        <v>4209.0728952521822</v>
      </c>
      <c r="E38" s="6">
        <f>E37-(PPMT($B$4,23,25,64259,0))</f>
        <v>-8230.8830769186861</v>
      </c>
      <c r="F38" s="6">
        <f>17500</f>
        <v>17500</v>
      </c>
      <c r="G38" s="6">
        <f t="shared" si="3"/>
        <v>782050.81523547089</v>
      </c>
      <c r="H38" s="6">
        <f t="shared" si="4"/>
        <v>124524.07405398796</v>
      </c>
      <c r="I38" s="6">
        <f t="shared" si="5"/>
        <v>898344.0062125402</v>
      </c>
    </row>
    <row r="39" spans="1:9" x14ac:dyDescent="0.3">
      <c r="A39" s="3">
        <v>49</v>
      </c>
      <c r="B39" s="6">
        <f t="shared" si="2"/>
        <v>898344.0062125402</v>
      </c>
      <c r="C39" s="6"/>
      <c r="D39" s="6">
        <f t="shared" si="1"/>
        <v>4209.0728952521822</v>
      </c>
      <c r="E39" s="6">
        <f>E38-(PPMT($B$4,24,25,64259,0))</f>
        <v>-4209.2196952521645</v>
      </c>
      <c r="F39" s="6">
        <f>17500</f>
        <v>17500</v>
      </c>
      <c r="G39" s="6">
        <f t="shared" si="3"/>
        <v>841127.45762771543</v>
      </c>
      <c r="H39" s="6">
        <f t="shared" si="4"/>
        <v>130999.32590479535</v>
      </c>
      <c r="I39" s="6">
        <f t="shared" si="5"/>
        <v>967917.56383725861</v>
      </c>
    </row>
    <row r="40" spans="1:9" x14ac:dyDescent="0.3">
      <c r="A40" s="3">
        <v>50</v>
      </c>
      <c r="B40" s="6">
        <f t="shared" si="2"/>
        <v>967917.56383725861</v>
      </c>
      <c r="C40" s="6"/>
      <c r="D40" s="6">
        <f t="shared" si="1"/>
        <v>4209.0728952521822</v>
      </c>
      <c r="E40" s="6">
        <f>E39-(PPMT($B$4,25,25,64259,0))</f>
        <v>-0.14679999998224957</v>
      </c>
      <c r="F40" s="6">
        <f>17500</f>
        <v>17500</v>
      </c>
      <c r="G40" s="6">
        <f t="shared" si="3"/>
        <v>903276.08542435663</v>
      </c>
      <c r="H40" s="6">
        <f t="shared" si="4"/>
        <v>137811.29085184471</v>
      </c>
      <c r="I40" s="6">
        <f t="shared" si="5"/>
        <v>1041087.2294762013</v>
      </c>
    </row>
    <row r="41" spans="1:9" x14ac:dyDescent="0.3">
      <c r="A41" s="3">
        <v>51</v>
      </c>
      <c r="B41" s="6">
        <f t="shared" si="2"/>
        <v>1041087.2294762013</v>
      </c>
      <c r="C41" s="6"/>
      <c r="D41" s="6"/>
      <c r="E41" s="6"/>
      <c r="F41" s="6">
        <f>17500</f>
        <v>17500</v>
      </c>
      <c r="G41" s="6">
        <f t="shared" si="3"/>
        <v>968656.44186642324</v>
      </c>
      <c r="H41" s="6">
        <f t="shared" si="4"/>
        <v>144977.47797614062</v>
      </c>
      <c r="I41" s="6">
        <f t="shared" si="5"/>
        <v>1113633.9198425638</v>
      </c>
    </row>
    <row r="42" spans="1:9" x14ac:dyDescent="0.3">
      <c r="A42" s="3">
        <v>52</v>
      </c>
      <c r="B42" s="6">
        <f t="shared" si="2"/>
        <v>1113633.9198425638</v>
      </c>
      <c r="C42" s="6"/>
      <c r="D42" s="6"/>
      <c r="E42" s="6"/>
      <c r="F42" s="6">
        <f>17500</f>
        <v>17500</v>
      </c>
      <c r="G42" s="6">
        <f t="shared" si="3"/>
        <v>1037436.5768434773</v>
      </c>
      <c r="H42" s="6">
        <f t="shared" si="4"/>
        <v>152516.30683089994</v>
      </c>
      <c r="I42" s="6">
        <f t="shared" si="5"/>
        <v>1189952.8836743773</v>
      </c>
    </row>
    <row r="43" spans="1:9" x14ac:dyDescent="0.3">
      <c r="A43" s="3">
        <v>53</v>
      </c>
      <c r="B43" s="6">
        <f t="shared" si="2"/>
        <v>1189952.8836743773</v>
      </c>
      <c r="C43" s="6"/>
      <c r="D43" s="6"/>
      <c r="E43" s="6"/>
      <c r="F43" s="6">
        <f>17500</f>
        <v>17500</v>
      </c>
      <c r="G43" s="6">
        <f t="shared" si="3"/>
        <v>1109793.2788393381</v>
      </c>
      <c r="H43" s="6">
        <f t="shared" si="4"/>
        <v>160447.15478610675</v>
      </c>
      <c r="I43" s="6">
        <f t="shared" si="5"/>
        <v>1270240.4336254448</v>
      </c>
    </row>
    <row r="44" spans="1:9" x14ac:dyDescent="0.3">
      <c r="A44" s="3">
        <v>54</v>
      </c>
      <c r="B44" s="6">
        <f t="shared" si="2"/>
        <v>1270240.4336254448</v>
      </c>
      <c r="C44" s="6"/>
      <c r="D44" s="6"/>
      <c r="E44" s="6"/>
      <c r="F44" s="6">
        <f>17500</f>
        <v>17500</v>
      </c>
      <c r="G44" s="6">
        <f t="shared" si="3"/>
        <v>1185912.5293389838</v>
      </c>
      <c r="H44" s="6">
        <f t="shared" si="4"/>
        <v>168790.40683498431</v>
      </c>
      <c r="I44" s="6">
        <f t="shared" si="5"/>
        <v>1354702.936173968</v>
      </c>
    </row>
    <row r="45" spans="1:9" x14ac:dyDescent="0.3">
      <c r="A45" s="3">
        <v>55</v>
      </c>
      <c r="B45" s="6">
        <f t="shared" si="2"/>
        <v>1354702.936173968</v>
      </c>
      <c r="C45" s="6"/>
      <c r="D45" s="6"/>
      <c r="E45" s="6"/>
      <c r="F45" s="6">
        <f>17500</f>
        <v>17500</v>
      </c>
      <c r="G45" s="6">
        <f t="shared" si="3"/>
        <v>1265989.980864611</v>
      </c>
      <c r="H45" s="6">
        <f t="shared" si="4"/>
        <v>177567.50799040351</v>
      </c>
      <c r="I45" s="6">
        <f t="shared" si="5"/>
        <v>1443557.4888550146</v>
      </c>
    </row>
    <row r="46" spans="1:9" x14ac:dyDescent="0.3">
      <c r="A46" s="3">
        <v>56</v>
      </c>
      <c r="B46" s="6">
        <f t="shared" si="2"/>
        <v>1443557.4888550146</v>
      </c>
      <c r="C46" s="6"/>
      <c r="D46" s="6"/>
      <c r="E46" s="6"/>
      <c r="F46" s="6">
        <f>17500</f>
        <v>17500</v>
      </c>
      <c r="G46" s="6">
        <f t="shared" si="3"/>
        <v>1350231.4598695708</v>
      </c>
      <c r="H46" s="6">
        <f t="shared" si="4"/>
        <v>186801.0184059045</v>
      </c>
      <c r="I46" s="6">
        <f t="shared" si="5"/>
        <v>1537032.4782754753</v>
      </c>
    </row>
    <row r="47" spans="1:9" x14ac:dyDescent="0.3">
      <c r="A47" s="3">
        <v>57</v>
      </c>
      <c r="B47" s="6">
        <f t="shared" si="2"/>
        <v>1537032.4782754753</v>
      </c>
      <c r="C47" s="6"/>
      <c r="D47" s="6"/>
      <c r="E47" s="6"/>
      <c r="F47" s="6">
        <f>17500</f>
        <v>17500</v>
      </c>
      <c r="G47" s="6">
        <f t="shared" si="3"/>
        <v>1438853.4957827886</v>
      </c>
      <c r="H47" s="6">
        <f t="shared" si="4"/>
        <v>196514.67136301156</v>
      </c>
      <c r="I47" s="6">
        <f t="shared" si="5"/>
        <v>1635368.1671458001</v>
      </c>
    </row>
    <row r="48" spans="1:9" x14ac:dyDescent="0.3">
      <c r="A48" s="3">
        <v>58</v>
      </c>
      <c r="B48" s="6">
        <f t="shared" si="2"/>
        <v>1635368.1671458001</v>
      </c>
      <c r="C48" s="6"/>
      <c r="D48" s="6"/>
      <c r="E48" s="6"/>
      <c r="F48" s="6">
        <f>17500</f>
        <v>17500</v>
      </c>
      <c r="G48" s="6">
        <f t="shared" si="3"/>
        <v>1532083.8775634938</v>
      </c>
      <c r="H48" s="6">
        <f t="shared" si="4"/>
        <v>206733.43427388815</v>
      </c>
      <c r="I48" s="6">
        <f t="shared" si="5"/>
        <v>1738817.3118373819</v>
      </c>
    </row>
    <row r="49" spans="1:9" x14ac:dyDescent="0.3">
      <c r="A49" s="3">
        <v>59</v>
      </c>
      <c r="B49" s="6">
        <f t="shared" si="2"/>
        <v>1738817.3118373819</v>
      </c>
      <c r="C49" s="6"/>
      <c r="D49" s="6"/>
      <c r="E49" s="6"/>
      <c r="F49" s="6">
        <f>17500</f>
        <v>17500</v>
      </c>
      <c r="G49" s="6">
        <f t="shared" si="3"/>
        <v>1630162.2391967955</v>
      </c>
      <c r="H49" s="6">
        <f t="shared" si="4"/>
        <v>217483.57285613034</v>
      </c>
      <c r="I49" s="6">
        <f t="shared" si="5"/>
        <v>1847645.8120529258</v>
      </c>
    </row>
    <row r="50" spans="1:9" x14ac:dyDescent="0.3">
      <c r="A50" s="3">
        <v>60</v>
      </c>
      <c r="B50" s="6">
        <f t="shared" si="2"/>
        <v>1847645.8120529258</v>
      </c>
      <c r="C50" s="6"/>
      <c r="D50" s="6"/>
      <c r="E50" s="6"/>
      <c r="F50" s="6">
        <f>17500</f>
        <v>17500</v>
      </c>
      <c r="G50" s="6">
        <f t="shared" si="3"/>
        <v>1733340.6756350289</v>
      </c>
      <c r="H50" s="6">
        <f>(1000000+H49)*(1+$B$3)</f>
        <v>1280792.7186446493</v>
      </c>
      <c r="I50" s="6">
        <f t="shared" si="5"/>
        <v>3014133.3942796784</v>
      </c>
    </row>
    <row r="51" spans="1:9" x14ac:dyDescent="0.3">
      <c r="A51" s="3">
        <v>61</v>
      </c>
      <c r="B51" s="6">
        <f t="shared" si="2"/>
        <v>3014133.3942796784</v>
      </c>
      <c r="C51" s="6"/>
      <c r="D51" s="6"/>
      <c r="E51" s="6"/>
      <c r="F51" s="6">
        <f>17500</f>
        <v>17500</v>
      </c>
      <c r="G51" s="6">
        <f t="shared" si="3"/>
        <v>1841884.3907680504</v>
      </c>
      <c r="H51" s="6">
        <f>H50*(1+$B$3)</f>
        <v>1347393.9400141712</v>
      </c>
      <c r="I51" s="6">
        <f t="shared" si="5"/>
        <v>3189278.3307822216</v>
      </c>
    </row>
    <row r="52" spans="1:9" x14ac:dyDescent="0.3">
      <c r="A52" s="3">
        <v>62</v>
      </c>
      <c r="B52" s="6">
        <f t="shared" si="2"/>
        <v>3189278.3307822216</v>
      </c>
      <c r="C52" s="6"/>
      <c r="D52" s="6"/>
      <c r="E52" s="6"/>
      <c r="F52" s="6">
        <f>17500</f>
        <v>17500</v>
      </c>
      <c r="G52" s="6">
        <f t="shared" si="3"/>
        <v>1956072.3790879892</v>
      </c>
      <c r="H52" s="6">
        <f t="shared" ref="H52:H55" si="6">H51*(1+$B$3)</f>
        <v>1417458.4248949082</v>
      </c>
      <c r="I52" s="6">
        <f t="shared" si="5"/>
        <v>3373530.8039828977</v>
      </c>
    </row>
    <row r="53" spans="1:9" x14ac:dyDescent="0.3">
      <c r="A53" s="3">
        <v>63</v>
      </c>
      <c r="B53" s="6">
        <f t="shared" si="2"/>
        <v>3373530.8039828977</v>
      </c>
      <c r="C53" s="6"/>
      <c r="D53" s="6"/>
      <c r="E53" s="6"/>
      <c r="F53" s="6">
        <f>17500</f>
        <v>17500</v>
      </c>
      <c r="G53" s="6">
        <f t="shared" si="3"/>
        <v>2076198.1428005646</v>
      </c>
      <c r="H53" s="6">
        <f t="shared" si="6"/>
        <v>1491166.2629894435</v>
      </c>
      <c r="I53" s="6">
        <f t="shared" si="5"/>
        <v>3567364.4057900081</v>
      </c>
    </row>
    <row r="54" spans="1:9" x14ac:dyDescent="0.3">
      <c r="A54" s="3">
        <v>64</v>
      </c>
      <c r="B54" s="6">
        <f t="shared" si="2"/>
        <v>3567364.4057900081</v>
      </c>
      <c r="C54" s="6"/>
      <c r="D54" s="6"/>
      <c r="E54" s="6"/>
      <c r="F54" s="6">
        <f>17500</f>
        <v>17500</v>
      </c>
      <c r="G54" s="6">
        <f t="shared" si="3"/>
        <v>2202570.446226194</v>
      </c>
      <c r="H54" s="6">
        <f t="shared" si="6"/>
        <v>1568706.9086648945</v>
      </c>
      <c r="I54" s="6">
        <f t="shared" si="5"/>
        <v>3771277.3548910888</v>
      </c>
    </row>
    <row r="55" spans="1:9" x14ac:dyDescent="0.3">
      <c r="A55" s="3">
        <v>65</v>
      </c>
      <c r="B55" s="6">
        <f t="shared" si="2"/>
        <v>3771277.3548910888</v>
      </c>
      <c r="C55" s="6"/>
      <c r="D55" s="6"/>
      <c r="E55" s="6"/>
      <c r="F55" s="6">
        <f>17500</f>
        <v>17500</v>
      </c>
      <c r="G55" s="6">
        <f t="shared" si="3"/>
        <v>2335514.1094299564</v>
      </c>
      <c r="H55" s="6">
        <f t="shared" si="6"/>
        <v>1650279.667915469</v>
      </c>
      <c r="I55" s="6">
        <f t="shared" si="5"/>
        <v>3985793.7773454254</v>
      </c>
    </row>
    <row r="56" spans="1:9" x14ac:dyDescent="0.3">
      <c r="A56" s="3">
        <v>66</v>
      </c>
      <c r="B56" s="6">
        <f t="shared" si="2"/>
        <v>3985793.7773454254</v>
      </c>
      <c r="C56" s="6"/>
      <c r="D56" s="6"/>
      <c r="E56" s="6"/>
      <c r="F56" s="6"/>
      <c r="G56" s="6">
        <f>G55*(1+$B$3)</f>
        <v>2456960.8431203142</v>
      </c>
      <c r="H56" s="6">
        <f>(H55-$B$5)*(1+$B$3)</f>
        <v>1525694.2106470736</v>
      </c>
      <c r="I56" s="6">
        <f t="shared" si="0"/>
        <v>3982655.0537673878</v>
      </c>
    </row>
    <row r="57" spans="1:9" x14ac:dyDescent="0.3">
      <c r="A57" s="3">
        <v>67</v>
      </c>
      <c r="B57" s="6">
        <f t="shared" si="2"/>
        <v>3982655.0537673878</v>
      </c>
      <c r="C57" s="6"/>
      <c r="D57" s="6"/>
      <c r="E57" s="6"/>
      <c r="F57" s="6"/>
      <c r="G57" s="6">
        <f t="shared" ref="G57:G60" si="7">G56*(1+$B$3)</f>
        <v>2584722.8069625706</v>
      </c>
      <c r="H57" s="6">
        <f t="shared" ref="H57:H60" si="8">(H56-$B$5)*(1+$B$3)</f>
        <v>1394630.3096007213</v>
      </c>
      <c r="I57" s="6">
        <f t="shared" si="0"/>
        <v>3979353.1165632922</v>
      </c>
    </row>
    <row r="58" spans="1:9" x14ac:dyDescent="0.3">
      <c r="A58" s="3">
        <v>68</v>
      </c>
      <c r="B58" s="6">
        <f t="shared" si="2"/>
        <v>3979353.1165632922</v>
      </c>
      <c r="C58" s="6"/>
      <c r="D58" s="6"/>
      <c r="E58" s="6"/>
      <c r="F58" s="6"/>
      <c r="G58" s="6">
        <f t="shared" si="7"/>
        <v>2719128.3929246245</v>
      </c>
      <c r="H58" s="6">
        <f t="shared" si="8"/>
        <v>1256751.085699959</v>
      </c>
      <c r="I58" s="6">
        <f t="shared" si="0"/>
        <v>3975879.4786245832</v>
      </c>
    </row>
    <row r="59" spans="1:9" x14ac:dyDescent="0.3">
      <c r="A59" s="3">
        <v>69</v>
      </c>
      <c r="B59" s="6">
        <f t="shared" si="2"/>
        <v>3975879.4786245832</v>
      </c>
      <c r="C59" s="6"/>
      <c r="D59" s="6"/>
      <c r="E59" s="6"/>
      <c r="F59" s="6"/>
      <c r="G59" s="6">
        <f t="shared" si="7"/>
        <v>2860523.0693567051</v>
      </c>
      <c r="H59" s="6">
        <f t="shared" si="8"/>
        <v>1111702.1421563569</v>
      </c>
      <c r="I59" s="6">
        <f t="shared" si="0"/>
        <v>3972225.211513062</v>
      </c>
    </row>
    <row r="60" spans="1:9" x14ac:dyDescent="0.3">
      <c r="A60" s="3">
        <v>70</v>
      </c>
      <c r="B60" s="6">
        <f t="shared" si="2"/>
        <v>3972225.211513062</v>
      </c>
      <c r="C60" s="6"/>
      <c r="D60" s="6"/>
      <c r="E60" s="6"/>
      <c r="F60" s="6"/>
      <c r="G60" s="6">
        <f t="shared" si="7"/>
        <v>3009270.2689632541</v>
      </c>
      <c r="H60" s="6">
        <f t="shared" si="8"/>
        <v>959110.65354848758</v>
      </c>
      <c r="I60" s="6">
        <f t="shared" si="0"/>
        <v>3968380.9225117415</v>
      </c>
    </row>
    <row r="61" spans="1:9" x14ac:dyDescent="0.3">
      <c r="A61" s="3">
        <v>71</v>
      </c>
      <c r="B61" s="6">
        <f t="shared" si="2"/>
        <v>3968380.9225117415</v>
      </c>
      <c r="C61" s="6"/>
      <c r="D61" s="8"/>
      <c r="E61" s="6"/>
      <c r="F61" s="6"/>
      <c r="G61" s="6">
        <f>(G60-$B$5)*(1+$B$3)</f>
        <v>2955352.3229493434</v>
      </c>
      <c r="H61" s="6">
        <f>H60*(1+$B$3)</f>
        <v>1008984.407533009</v>
      </c>
      <c r="I61" s="6">
        <f t="shared" si="0"/>
        <v>3964336.7304823524</v>
      </c>
    </row>
    <row r="62" spans="1:9" x14ac:dyDescent="0.3">
      <c r="A62" s="3">
        <v>72</v>
      </c>
      <c r="B62" s="6">
        <f t="shared" si="2"/>
        <v>3964336.7304823524</v>
      </c>
      <c r="C62" s="6"/>
      <c r="D62" s="6"/>
      <c r="E62" s="6"/>
      <c r="F62" s="6"/>
      <c r="G62" s="6">
        <f t="shared" ref="G62:G80" si="9">(G61-$B$5)*(1+$B$3)</f>
        <v>2898630.6437427094</v>
      </c>
      <c r="H62" s="6">
        <f t="shared" ref="H62:H80" si="10">H61*(1+$B$3)</f>
        <v>1061451.5967247256</v>
      </c>
      <c r="I62" s="6">
        <f t="shared" si="0"/>
        <v>3960082.2404674347</v>
      </c>
    </row>
    <row r="63" spans="1:9" x14ac:dyDescent="0.3">
      <c r="A63" s="3">
        <v>73</v>
      </c>
      <c r="B63" s="6">
        <f t="shared" si="2"/>
        <v>3960082.2404674347</v>
      </c>
      <c r="C63" s="6"/>
      <c r="D63" s="6"/>
      <c r="E63" s="6"/>
      <c r="F63" s="6"/>
      <c r="G63" s="6">
        <f t="shared" si="9"/>
        <v>2838959.4372173306</v>
      </c>
      <c r="H63" s="6">
        <f t="shared" si="10"/>
        <v>1116647.0797544112</v>
      </c>
      <c r="I63" s="6">
        <f t="shared" si="0"/>
        <v>3955606.5169717418</v>
      </c>
    </row>
    <row r="64" spans="1:9" x14ac:dyDescent="0.3">
      <c r="A64" s="3">
        <v>74</v>
      </c>
      <c r="B64" s="6">
        <f t="shared" si="2"/>
        <v>3955606.5169717418</v>
      </c>
      <c r="C64" s="6"/>
      <c r="D64" s="6"/>
      <c r="E64" s="6"/>
      <c r="F64" s="6"/>
      <c r="G64" s="6">
        <f t="shared" si="9"/>
        <v>2776185.3279526317</v>
      </c>
      <c r="H64" s="6">
        <f t="shared" si="10"/>
        <v>1174712.7279016406</v>
      </c>
      <c r="I64" s="6">
        <f t="shared" si="0"/>
        <v>3950898.0558542721</v>
      </c>
    </row>
    <row r="65" spans="1:9" x14ac:dyDescent="0.3">
      <c r="A65" s="3">
        <v>75</v>
      </c>
      <c r="B65" s="6">
        <f t="shared" si="2"/>
        <v>3950898.0558542721</v>
      </c>
      <c r="C65" s="6"/>
      <c r="D65" s="6"/>
      <c r="E65" s="6"/>
      <c r="F65" s="6"/>
      <c r="G65" s="6">
        <f t="shared" si="9"/>
        <v>2710146.9650061689</v>
      </c>
      <c r="H65" s="6">
        <f t="shared" si="10"/>
        <v>1235797.789752526</v>
      </c>
      <c r="I65" s="6">
        <f t="shared" si="0"/>
        <v>3945944.7547586951</v>
      </c>
    </row>
    <row r="66" spans="1:9" x14ac:dyDescent="0.3">
      <c r="A66" s="3">
        <v>76</v>
      </c>
      <c r="B66" s="6">
        <f t="shared" si="2"/>
        <v>3945944.7547586951</v>
      </c>
      <c r="C66" s="6"/>
      <c r="D66" s="6"/>
      <c r="E66" s="6"/>
      <c r="F66" s="6"/>
      <c r="G66" s="6">
        <f t="shared" si="9"/>
        <v>2640674.6071864897</v>
      </c>
      <c r="H66" s="6">
        <f t="shared" si="10"/>
        <v>1300059.2748196574</v>
      </c>
      <c r="I66" s="6">
        <f t="shared" si="0"/>
        <v>3940733.8820061469</v>
      </c>
    </row>
    <row r="67" spans="1:9" x14ac:dyDescent="0.3">
      <c r="A67" s="3">
        <v>77</v>
      </c>
      <c r="B67" s="6">
        <f t="shared" si="2"/>
        <v>3940733.8820061469</v>
      </c>
      <c r="C67" s="6"/>
      <c r="D67" s="6"/>
      <c r="E67" s="6"/>
      <c r="F67" s="6"/>
      <c r="G67" s="6">
        <f t="shared" si="9"/>
        <v>2567589.6867601871</v>
      </c>
      <c r="H67" s="6">
        <f t="shared" si="10"/>
        <v>1367662.3571102796</v>
      </c>
      <c r="I67" s="6">
        <f t="shared" si="0"/>
        <v>3935252.0438704668</v>
      </c>
    </row>
    <row r="68" spans="1:9" x14ac:dyDescent="0.3">
      <c r="A68" s="3">
        <v>78</v>
      </c>
      <c r="B68" s="6">
        <f t="shared" si="2"/>
        <v>3935252.0438704668</v>
      </c>
      <c r="C68" s="6"/>
      <c r="D68" s="6"/>
      <c r="E68" s="6"/>
      <c r="F68" s="6"/>
      <c r="G68" s="6">
        <f t="shared" si="9"/>
        <v>2490704.3504717168</v>
      </c>
      <c r="H68" s="6">
        <f t="shared" si="10"/>
        <v>1438780.7996800141</v>
      </c>
      <c r="I68" s="6">
        <f t="shared" si="0"/>
        <v>3929485.150151731</v>
      </c>
    </row>
    <row r="69" spans="1:9" x14ac:dyDescent="0.3">
      <c r="A69" s="3">
        <v>79</v>
      </c>
      <c r="B69" s="6">
        <f t="shared" si="2"/>
        <v>3929485.150151731</v>
      </c>
      <c r="C69" s="6"/>
      <c r="D69" s="6"/>
      <c r="E69" s="6"/>
      <c r="F69" s="6"/>
      <c r="G69" s="6">
        <f t="shared" si="9"/>
        <v>2409820.9766962463</v>
      </c>
      <c r="H69" s="6">
        <f t="shared" si="10"/>
        <v>1513597.4012633748</v>
      </c>
      <c r="I69" s="6">
        <f t="shared" si="0"/>
        <v>3923418.3779596211</v>
      </c>
    </row>
    <row r="70" spans="1:9" x14ac:dyDescent="0.3">
      <c r="A70" s="3">
        <v>80</v>
      </c>
      <c r="B70" s="6">
        <f t="shared" si="2"/>
        <v>3923418.3779596211</v>
      </c>
      <c r="C70" s="6"/>
      <c r="D70" s="6"/>
      <c r="E70" s="6"/>
      <c r="F70" s="6"/>
      <c r="G70" s="6">
        <f t="shared" si="9"/>
        <v>2324731.6674844511</v>
      </c>
      <c r="H70" s="6">
        <f t="shared" si="10"/>
        <v>1592304.4661290704</v>
      </c>
      <c r="I70" s="6">
        <f t="shared" si="0"/>
        <v>3917036.1336135212</v>
      </c>
    </row>
    <row r="71" spans="1:9" x14ac:dyDescent="0.3">
      <c r="A71" s="3">
        <v>81</v>
      </c>
      <c r="B71" s="6">
        <f t="shared" si="2"/>
        <v>3917036.1336135212</v>
      </c>
      <c r="C71" s="6"/>
      <c r="D71" s="6"/>
      <c r="E71" s="6"/>
      <c r="F71" s="6"/>
      <c r="G71" s="6">
        <f t="shared" si="9"/>
        <v>2235217.7141936426</v>
      </c>
      <c r="H71" s="6">
        <f t="shared" si="10"/>
        <v>1675104.298367782</v>
      </c>
      <c r="I71" s="6">
        <f t="shared" si="0"/>
        <v>3910322.0125614246</v>
      </c>
    </row>
    <row r="72" spans="1:9" x14ac:dyDescent="0.3">
      <c r="A72" s="3">
        <v>82</v>
      </c>
      <c r="B72" s="6">
        <f t="shared" si="2"/>
        <v>3910322.0125614246</v>
      </c>
      <c r="C72" s="6"/>
      <c r="D72" s="6"/>
      <c r="E72" s="6"/>
      <c r="F72" s="6"/>
      <c r="G72" s="6">
        <f t="shared" si="9"/>
        <v>2141049.0353317121</v>
      </c>
      <c r="H72" s="6">
        <f t="shared" si="10"/>
        <v>1762209.7218829067</v>
      </c>
      <c r="I72" s="6">
        <f t="shared" si="0"/>
        <v>3903258.7572146188</v>
      </c>
    </row>
    <row r="73" spans="1:9" x14ac:dyDescent="0.3">
      <c r="A73" s="3">
        <v>83</v>
      </c>
      <c r="B73" s="6">
        <f t="shared" si="2"/>
        <v>3903258.7572146188</v>
      </c>
      <c r="C73" s="6"/>
      <c r="D73" s="6"/>
      <c r="E73" s="6"/>
      <c r="F73" s="6"/>
      <c r="G73" s="6">
        <f t="shared" si="9"/>
        <v>2041983.5851689612</v>
      </c>
      <c r="H73" s="6">
        <f t="shared" si="10"/>
        <v>1853844.627420818</v>
      </c>
      <c r="I73" s="6">
        <f t="shared" ref="I73:I80" si="11">E73+G73+H73</f>
        <v>3895828.2125897789</v>
      </c>
    </row>
    <row r="74" spans="1:9" x14ac:dyDescent="0.3">
      <c r="A74" s="3">
        <v>84</v>
      </c>
      <c r="B74" s="6">
        <f t="shared" si="2"/>
        <v>3895828.2125897789</v>
      </c>
      <c r="C74" s="6"/>
      <c r="D74" s="6"/>
      <c r="E74" s="6"/>
      <c r="F74" s="6"/>
      <c r="G74" s="6">
        <f t="shared" si="9"/>
        <v>1937766.7315977472</v>
      </c>
      <c r="H74" s="6">
        <f t="shared" si="10"/>
        <v>1950244.5480467007</v>
      </c>
      <c r="I74" s="6">
        <f t="shared" si="11"/>
        <v>3888011.2796444478</v>
      </c>
    </row>
    <row r="75" spans="1:9" x14ac:dyDescent="0.3">
      <c r="A75" s="3">
        <v>85</v>
      </c>
      <c r="B75" s="6">
        <f t="shared" si="2"/>
        <v>3888011.2796444478</v>
      </c>
      <c r="C75" s="6"/>
      <c r="D75" s="6"/>
      <c r="E75" s="6"/>
      <c r="F75" s="6"/>
      <c r="G75" s="6">
        <f t="shared" si="9"/>
        <v>1828130.60164083</v>
      </c>
      <c r="H75" s="6">
        <f t="shared" si="10"/>
        <v>2051657.2645451291</v>
      </c>
      <c r="I75" s="6">
        <f t="shared" si="11"/>
        <v>3879787.8661859594</v>
      </c>
    </row>
    <row r="76" spans="1:9" x14ac:dyDescent="0.3">
      <c r="A76" s="3">
        <v>86</v>
      </c>
      <c r="B76" s="6">
        <f t="shared" si="2"/>
        <v>3879787.8661859594</v>
      </c>
      <c r="C76" s="6"/>
      <c r="D76" s="6"/>
      <c r="E76" s="6"/>
      <c r="F76" s="6"/>
      <c r="G76" s="6">
        <f t="shared" si="9"/>
        <v>1712793.3929261533</v>
      </c>
      <c r="H76" s="6">
        <f t="shared" si="10"/>
        <v>2158343.4423014759</v>
      </c>
      <c r="I76" s="6">
        <f t="shared" si="11"/>
        <v>3871136.8352276292</v>
      </c>
    </row>
    <row r="77" spans="1:9" x14ac:dyDescent="0.3">
      <c r="A77" s="3">
        <v>87</v>
      </c>
      <c r="B77" s="6">
        <f t="shared" si="2"/>
        <v>3871136.8352276292</v>
      </c>
      <c r="C77" s="6"/>
      <c r="D77" s="6"/>
      <c r="E77" s="6"/>
      <c r="F77" s="6"/>
      <c r="G77" s="6">
        <f t="shared" si="9"/>
        <v>1591458.6493583133</v>
      </c>
      <c r="H77" s="6">
        <f t="shared" si="10"/>
        <v>2270577.3013011529</v>
      </c>
      <c r="I77" s="6">
        <f t="shared" si="11"/>
        <v>3862035.950659466</v>
      </c>
    </row>
    <row r="78" spans="1:9" x14ac:dyDescent="0.3">
      <c r="A78" s="3">
        <v>88</v>
      </c>
      <c r="B78" s="6">
        <f t="shared" si="2"/>
        <v>3862035.950659466</v>
      </c>
      <c r="C78" s="6"/>
      <c r="D78" s="6"/>
      <c r="E78" s="6"/>
      <c r="F78" s="6"/>
      <c r="G78" s="6">
        <f t="shared" si="9"/>
        <v>1463814.4991249456</v>
      </c>
      <c r="H78" s="6">
        <f t="shared" si="10"/>
        <v>2388647.3209688128</v>
      </c>
      <c r="I78" s="6">
        <f t="shared" si="11"/>
        <v>3852461.8200937584</v>
      </c>
    </row>
    <row r="79" spans="1:9" x14ac:dyDescent="0.3">
      <c r="A79" s="3">
        <v>89</v>
      </c>
      <c r="B79" s="6">
        <f t="shared" si="2"/>
        <v>3852461.8200937584</v>
      </c>
      <c r="C79" s="6"/>
      <c r="D79" s="6"/>
      <c r="E79" s="6"/>
      <c r="F79" s="6"/>
      <c r="G79" s="6">
        <f t="shared" si="9"/>
        <v>1329532.8530794429</v>
      </c>
      <c r="H79" s="6">
        <f t="shared" si="10"/>
        <v>2512856.9816591912</v>
      </c>
      <c r="I79" s="6">
        <f t="shared" si="11"/>
        <v>3842389.8347386341</v>
      </c>
    </row>
    <row r="80" spans="1:9" x14ac:dyDescent="0.3">
      <c r="A80" s="3">
        <v>90</v>
      </c>
      <c r="B80" s="6">
        <f t="shared" si="2"/>
        <v>3842389.8347386341</v>
      </c>
      <c r="C80" s="6"/>
      <c r="D80" s="6"/>
      <c r="E80" s="6"/>
      <c r="F80" s="6"/>
      <c r="G80" s="6">
        <f t="shared" si="9"/>
        <v>1188268.561439574</v>
      </c>
      <c r="H80" s="6">
        <f t="shared" si="10"/>
        <v>2643525.5447054692</v>
      </c>
      <c r="I80" s="6">
        <f t="shared" si="11"/>
        <v>3831794.1061450429</v>
      </c>
    </row>
  </sheetData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view="pageBreakPreview" zoomScale="60" zoomScaleNormal="100" workbookViewId="0">
      <selection activeCell="H50" sqref="H50"/>
    </sheetView>
  </sheetViews>
  <sheetFormatPr defaultColWidth="28" defaultRowHeight="13.5" x14ac:dyDescent="0.3"/>
  <cols>
    <col min="1" max="1" width="28" style="3"/>
    <col min="2" max="2" width="13.42578125" style="3" bestFit="1" customWidth="1"/>
    <col min="3" max="3" width="17.7109375" style="3" bestFit="1" customWidth="1"/>
    <col min="4" max="4" width="15.85546875" style="3" bestFit="1" customWidth="1"/>
    <col min="5" max="5" width="15.140625" style="3" bestFit="1" customWidth="1"/>
    <col min="6" max="6" width="14.5703125" style="3" bestFit="1" customWidth="1"/>
    <col min="7" max="7" width="14.85546875" style="3" bestFit="1" customWidth="1"/>
    <col min="8" max="8" width="15.85546875" style="3" bestFit="1" customWidth="1"/>
    <col min="9" max="9" width="10.42578125" style="3" bestFit="1" customWidth="1"/>
    <col min="10" max="16384" width="28" style="3"/>
  </cols>
  <sheetData>
    <row r="1" spans="1:9" x14ac:dyDescent="0.3">
      <c r="A1" s="3" t="s">
        <v>14</v>
      </c>
    </row>
    <row r="3" spans="1:9" x14ac:dyDescent="0.3">
      <c r="A3" s="3" t="s">
        <v>5</v>
      </c>
      <c r="B3" s="4">
        <f>0.052</f>
        <v>5.1999999999999998E-2</v>
      </c>
    </row>
    <row r="4" spans="1:9" x14ac:dyDescent="0.3">
      <c r="A4" s="3" t="s">
        <v>8</v>
      </c>
      <c r="B4" s="5">
        <f>0.0466</f>
        <v>4.6600000000000003E-2</v>
      </c>
    </row>
    <row r="5" spans="1:9" x14ac:dyDescent="0.3">
      <c r="A5" s="3" t="s">
        <v>9</v>
      </c>
      <c r="B5" s="6">
        <v>300000</v>
      </c>
    </row>
    <row r="7" spans="1:9" x14ac:dyDescent="0.3">
      <c r="A7" s="7" t="s">
        <v>0</v>
      </c>
      <c r="B7" s="7" t="s">
        <v>2</v>
      </c>
      <c r="C7" s="7" t="s">
        <v>3</v>
      </c>
      <c r="D7" s="7" t="s">
        <v>7</v>
      </c>
      <c r="E7" s="7" t="s">
        <v>6</v>
      </c>
      <c r="F7" s="7" t="s">
        <v>1</v>
      </c>
      <c r="G7" s="7" t="s">
        <v>4</v>
      </c>
      <c r="H7" s="7" t="s">
        <v>10</v>
      </c>
      <c r="I7" s="7" t="s">
        <v>12</v>
      </c>
    </row>
    <row r="8" spans="1:9" x14ac:dyDescent="0.3">
      <c r="A8" s="3">
        <v>18</v>
      </c>
      <c r="B8" s="6">
        <v>0</v>
      </c>
      <c r="C8" s="6">
        <v>0</v>
      </c>
      <c r="D8" s="6">
        <v>0</v>
      </c>
      <c r="E8" s="6">
        <f>SUM($C$8:C8)*(1+$B$4)</f>
        <v>0</v>
      </c>
      <c r="F8" s="6"/>
      <c r="G8" s="6"/>
      <c r="H8" s="6"/>
      <c r="I8" s="6">
        <f>E8+G8+H8</f>
        <v>0</v>
      </c>
    </row>
    <row r="9" spans="1:9" x14ac:dyDescent="0.3">
      <c r="A9" s="3">
        <v>19</v>
      </c>
      <c r="B9" s="6">
        <f>I8</f>
        <v>0</v>
      </c>
      <c r="C9" s="6">
        <v>0</v>
      </c>
      <c r="D9" s="6">
        <v>0</v>
      </c>
      <c r="E9" s="6">
        <f>(E8+C9)*(1+$B$4)</f>
        <v>0</v>
      </c>
      <c r="F9" s="6"/>
      <c r="G9" s="6"/>
      <c r="H9" s="6"/>
      <c r="I9" s="6">
        <f>E9+G9+H9</f>
        <v>0</v>
      </c>
    </row>
    <row r="10" spans="1:9" x14ac:dyDescent="0.3">
      <c r="A10" s="3">
        <v>20</v>
      </c>
      <c r="B10" s="6">
        <f>I9</f>
        <v>0</v>
      </c>
      <c r="C10" s="6">
        <v>0</v>
      </c>
      <c r="D10" s="6">
        <v>0</v>
      </c>
      <c r="E10" s="6">
        <f>(E9+C10)*(1+$B$4)</f>
        <v>0</v>
      </c>
      <c r="F10" s="6"/>
      <c r="G10" s="6"/>
      <c r="H10" s="6"/>
      <c r="I10" s="6">
        <f t="shared" ref="I10:I73" si="0">E10+G10+H10</f>
        <v>0</v>
      </c>
    </row>
    <row r="11" spans="1:9" x14ac:dyDescent="0.3">
      <c r="A11" s="3">
        <v>21</v>
      </c>
      <c r="B11" s="6">
        <f>I10</f>
        <v>0</v>
      </c>
      <c r="C11" s="6">
        <v>0</v>
      </c>
      <c r="D11" s="6">
        <v>0</v>
      </c>
      <c r="E11" s="6">
        <f>(E10+C11)*(1+$B$4)</f>
        <v>0</v>
      </c>
      <c r="F11" s="6"/>
      <c r="G11" s="6"/>
      <c r="H11" s="6"/>
      <c r="I11" s="6">
        <f t="shared" si="0"/>
        <v>0</v>
      </c>
    </row>
    <row r="12" spans="1:9" x14ac:dyDescent="0.3">
      <c r="A12" s="3">
        <v>22</v>
      </c>
      <c r="B12" s="6">
        <f>I11+(-$B$11/25)</f>
        <v>0</v>
      </c>
      <c r="C12" s="6">
        <v>0</v>
      </c>
      <c r="D12" s="6">
        <v>0</v>
      </c>
      <c r="E12" s="6">
        <f t="shared" ref="E12:E40" si="1">(E11+C12)*(1+$B$4)</f>
        <v>0</v>
      </c>
      <c r="F12" s="6"/>
      <c r="G12" s="6"/>
      <c r="H12" s="6"/>
      <c r="I12" s="6">
        <f t="shared" si="0"/>
        <v>0</v>
      </c>
    </row>
    <row r="13" spans="1:9" x14ac:dyDescent="0.3">
      <c r="A13" s="3">
        <v>23</v>
      </c>
      <c r="B13" s="6">
        <f>I12+(-$B$11/25)</f>
        <v>0</v>
      </c>
      <c r="C13" s="6">
        <v>0</v>
      </c>
      <c r="D13" s="6">
        <v>0</v>
      </c>
      <c r="E13" s="6">
        <f t="shared" si="1"/>
        <v>0</v>
      </c>
      <c r="F13" s="6"/>
      <c r="G13" s="6"/>
      <c r="H13" s="6"/>
      <c r="I13" s="6">
        <f t="shared" si="0"/>
        <v>0</v>
      </c>
    </row>
    <row r="14" spans="1:9" x14ac:dyDescent="0.3">
      <c r="A14" s="3">
        <v>24</v>
      </c>
      <c r="B14" s="6">
        <f>(I13*1.0466)</f>
        <v>0</v>
      </c>
      <c r="C14" s="6">
        <v>0</v>
      </c>
      <c r="D14" s="6">
        <v>0</v>
      </c>
      <c r="E14" s="6">
        <f t="shared" si="1"/>
        <v>0</v>
      </c>
      <c r="F14" s="6"/>
      <c r="G14" s="6"/>
      <c r="H14" s="6"/>
      <c r="I14" s="6">
        <f t="shared" si="0"/>
        <v>0</v>
      </c>
    </row>
    <row r="15" spans="1:9" x14ac:dyDescent="0.3">
      <c r="A15" s="3">
        <v>25</v>
      </c>
      <c r="B15" s="6">
        <f>(I14*1.0466)</f>
        <v>0</v>
      </c>
      <c r="C15" s="6">
        <v>0</v>
      </c>
      <c r="D15" s="6">
        <v>0</v>
      </c>
      <c r="E15" s="6">
        <f t="shared" si="1"/>
        <v>0</v>
      </c>
      <c r="F15" s="6"/>
      <c r="G15" s="6"/>
      <c r="H15" s="6"/>
      <c r="I15" s="6">
        <f t="shared" si="0"/>
        <v>0</v>
      </c>
    </row>
    <row r="16" spans="1:9" x14ac:dyDescent="0.3">
      <c r="A16" s="3">
        <v>26</v>
      </c>
      <c r="B16" s="6">
        <f>I15</f>
        <v>0</v>
      </c>
      <c r="C16" s="6"/>
      <c r="D16" s="6">
        <v>0</v>
      </c>
      <c r="E16" s="6">
        <f t="shared" si="1"/>
        <v>0</v>
      </c>
      <c r="F16" s="6">
        <f>17500</f>
        <v>17500</v>
      </c>
      <c r="G16" s="6">
        <f>F16*(1+$B$3)</f>
        <v>18410</v>
      </c>
      <c r="H16" s="6"/>
      <c r="I16" s="6">
        <f t="shared" si="0"/>
        <v>18410</v>
      </c>
    </row>
    <row r="17" spans="1:9" x14ac:dyDescent="0.3">
      <c r="A17" s="3">
        <v>27</v>
      </c>
      <c r="B17" s="6">
        <f t="shared" ref="B17:B80" si="2">I16</f>
        <v>18410</v>
      </c>
      <c r="C17" s="6"/>
      <c r="D17" s="6">
        <v>0</v>
      </c>
      <c r="E17" s="6">
        <f t="shared" si="1"/>
        <v>0</v>
      </c>
      <c r="F17" s="6">
        <f>17500</f>
        <v>17500</v>
      </c>
      <c r="G17" s="6">
        <f>(G16+F16)*(1+$B$3)</f>
        <v>37777.32</v>
      </c>
      <c r="H17" s="6"/>
      <c r="I17" s="6">
        <f>E17+G17+H17</f>
        <v>37777.32</v>
      </c>
    </row>
    <row r="18" spans="1:9" x14ac:dyDescent="0.3">
      <c r="A18" s="3">
        <v>28</v>
      </c>
      <c r="B18" s="6">
        <f t="shared" si="2"/>
        <v>37777.32</v>
      </c>
      <c r="C18" s="6"/>
      <c r="D18" s="6">
        <v>0</v>
      </c>
      <c r="E18" s="6">
        <f t="shared" si="1"/>
        <v>0</v>
      </c>
      <c r="F18" s="6">
        <f>17500</f>
        <v>17500</v>
      </c>
      <c r="G18" s="6">
        <f t="shared" ref="G18:G56" si="3">(G17+F17)*(1+$B$3)</f>
        <v>58151.740640000004</v>
      </c>
      <c r="H18" s="6"/>
      <c r="I18" s="6">
        <f t="shared" si="0"/>
        <v>58151.740640000004</v>
      </c>
    </row>
    <row r="19" spans="1:9" x14ac:dyDescent="0.3">
      <c r="A19" s="3">
        <v>29</v>
      </c>
      <c r="B19" s="6">
        <f t="shared" si="2"/>
        <v>58151.740640000004</v>
      </c>
      <c r="C19" s="6"/>
      <c r="D19" s="6">
        <v>0</v>
      </c>
      <c r="E19" s="6">
        <f t="shared" si="1"/>
        <v>0</v>
      </c>
      <c r="F19" s="6">
        <f>17500</f>
        <v>17500</v>
      </c>
      <c r="G19" s="6">
        <f t="shared" si="3"/>
        <v>79585.631153280003</v>
      </c>
      <c r="H19" s="6"/>
      <c r="I19" s="6">
        <f t="shared" si="0"/>
        <v>79585.631153280003</v>
      </c>
    </row>
    <row r="20" spans="1:9" x14ac:dyDescent="0.3">
      <c r="A20" s="3">
        <v>30</v>
      </c>
      <c r="B20" s="6">
        <f t="shared" si="2"/>
        <v>79585.631153280003</v>
      </c>
      <c r="C20" s="6"/>
      <c r="D20" s="6">
        <v>0</v>
      </c>
      <c r="E20" s="6">
        <f t="shared" si="1"/>
        <v>0</v>
      </c>
      <c r="F20" s="6">
        <f>17500</f>
        <v>17500</v>
      </c>
      <c r="G20" s="6">
        <f t="shared" si="3"/>
        <v>102134.08397325057</v>
      </c>
      <c r="H20" s="6">
        <v>50000</v>
      </c>
      <c r="I20" s="6">
        <f>E20+G20+H20</f>
        <v>152134.08397325058</v>
      </c>
    </row>
    <row r="21" spans="1:9" x14ac:dyDescent="0.3">
      <c r="A21" s="3">
        <v>31</v>
      </c>
      <c r="B21" s="6">
        <f t="shared" si="2"/>
        <v>152134.08397325058</v>
      </c>
      <c r="C21" s="6"/>
      <c r="D21" s="6">
        <v>0</v>
      </c>
      <c r="E21" s="6">
        <f t="shared" si="1"/>
        <v>0</v>
      </c>
      <c r="F21" s="6">
        <f>17500</f>
        <v>17500</v>
      </c>
      <c r="G21" s="6">
        <f t="shared" si="3"/>
        <v>125855.0563398596</v>
      </c>
      <c r="H21" s="6">
        <f>H20*(1+$B$3)</f>
        <v>52600</v>
      </c>
      <c r="I21" s="6">
        <f>E21+G21+H21</f>
        <v>178455.05633985961</v>
      </c>
    </row>
    <row r="22" spans="1:9" x14ac:dyDescent="0.3">
      <c r="A22" s="3">
        <v>32</v>
      </c>
      <c r="B22" s="6">
        <f t="shared" si="2"/>
        <v>178455.05633985961</v>
      </c>
      <c r="C22" s="6"/>
      <c r="D22" s="6">
        <v>0</v>
      </c>
      <c r="E22" s="6">
        <f t="shared" si="1"/>
        <v>0</v>
      </c>
      <c r="F22" s="6">
        <f>17500</f>
        <v>17500</v>
      </c>
      <c r="G22" s="6">
        <f t="shared" si="3"/>
        <v>150809.51926953232</v>
      </c>
      <c r="H22" s="6">
        <f t="shared" ref="H22:H49" si="4">H21*(1+$B$3)</f>
        <v>55335.200000000004</v>
      </c>
      <c r="I22" s="6">
        <f t="shared" ref="I22:I55" si="5">E22+G22+H22</f>
        <v>206144.71926953233</v>
      </c>
    </row>
    <row r="23" spans="1:9" x14ac:dyDescent="0.3">
      <c r="A23" s="3">
        <v>33</v>
      </c>
      <c r="B23" s="6">
        <f t="shared" si="2"/>
        <v>206144.71926953233</v>
      </c>
      <c r="C23" s="6"/>
      <c r="D23" s="6">
        <v>0</v>
      </c>
      <c r="E23" s="6">
        <f t="shared" si="1"/>
        <v>0</v>
      </c>
      <c r="F23" s="6">
        <f>17500</f>
        <v>17500</v>
      </c>
      <c r="G23" s="6">
        <f t="shared" si="3"/>
        <v>177061.61427154799</v>
      </c>
      <c r="H23" s="6">
        <f t="shared" si="4"/>
        <v>58212.630400000009</v>
      </c>
      <c r="I23" s="6">
        <f t="shared" si="5"/>
        <v>235274.24467154802</v>
      </c>
    </row>
    <row r="24" spans="1:9" x14ac:dyDescent="0.3">
      <c r="A24" s="3">
        <v>34</v>
      </c>
      <c r="B24" s="6">
        <f t="shared" si="2"/>
        <v>235274.24467154802</v>
      </c>
      <c r="C24" s="6"/>
      <c r="D24" s="6">
        <v>0</v>
      </c>
      <c r="E24" s="6">
        <f t="shared" si="1"/>
        <v>0</v>
      </c>
      <c r="F24" s="6">
        <f>17500</f>
        <v>17500</v>
      </c>
      <c r="G24" s="6">
        <f t="shared" si="3"/>
        <v>204678.81821366851</v>
      </c>
      <c r="H24" s="6">
        <f t="shared" si="4"/>
        <v>61239.687180800014</v>
      </c>
      <c r="I24" s="6">
        <f t="shared" si="5"/>
        <v>265918.50539446855</v>
      </c>
    </row>
    <row r="25" spans="1:9" x14ac:dyDescent="0.3">
      <c r="A25" s="3">
        <v>35</v>
      </c>
      <c r="B25" s="6">
        <f t="shared" si="2"/>
        <v>265918.50539446855</v>
      </c>
      <c r="C25" s="6"/>
      <c r="D25" s="6">
        <v>0</v>
      </c>
      <c r="E25" s="6">
        <f t="shared" si="1"/>
        <v>0</v>
      </c>
      <c r="F25" s="6">
        <f>17500</f>
        <v>17500</v>
      </c>
      <c r="G25" s="6">
        <f t="shared" si="3"/>
        <v>233732.11676077929</v>
      </c>
      <c r="H25" s="6">
        <f t="shared" si="4"/>
        <v>64424.150914201615</v>
      </c>
      <c r="I25" s="6">
        <f t="shared" si="5"/>
        <v>298156.26767498092</v>
      </c>
    </row>
    <row r="26" spans="1:9" x14ac:dyDescent="0.3">
      <c r="A26" s="3">
        <v>36</v>
      </c>
      <c r="B26" s="6">
        <f t="shared" si="2"/>
        <v>298156.26767498092</v>
      </c>
      <c r="C26" s="6"/>
      <c r="D26" s="6">
        <v>0</v>
      </c>
      <c r="E26" s="6">
        <f t="shared" si="1"/>
        <v>0</v>
      </c>
      <c r="F26" s="6">
        <f>17500</f>
        <v>17500</v>
      </c>
      <c r="G26" s="6">
        <f t="shared" si="3"/>
        <v>264296.18683233985</v>
      </c>
      <c r="H26" s="6">
        <f t="shared" si="4"/>
        <v>67774.206761740104</v>
      </c>
      <c r="I26" s="6">
        <f t="shared" si="5"/>
        <v>332070.39359407994</v>
      </c>
    </row>
    <row r="27" spans="1:9" x14ac:dyDescent="0.3">
      <c r="A27" s="3">
        <v>37</v>
      </c>
      <c r="B27" s="6">
        <f t="shared" si="2"/>
        <v>332070.39359407994</v>
      </c>
      <c r="C27" s="6"/>
      <c r="D27" s="6">
        <v>0</v>
      </c>
      <c r="E27" s="6">
        <f t="shared" si="1"/>
        <v>0</v>
      </c>
      <c r="F27" s="6">
        <f>17500</f>
        <v>17500</v>
      </c>
      <c r="G27" s="6">
        <f t="shared" si="3"/>
        <v>296449.58854762156</v>
      </c>
      <c r="H27" s="6">
        <f t="shared" si="4"/>
        <v>71298.465513350588</v>
      </c>
      <c r="I27" s="6">
        <f t="shared" si="5"/>
        <v>367748.05406097218</v>
      </c>
    </row>
    <row r="28" spans="1:9" x14ac:dyDescent="0.3">
      <c r="A28" s="3">
        <v>38</v>
      </c>
      <c r="B28" s="6">
        <f t="shared" si="2"/>
        <v>367748.05406097218</v>
      </c>
      <c r="C28" s="6"/>
      <c r="D28" s="6">
        <v>0</v>
      </c>
      <c r="E28" s="6">
        <f t="shared" si="1"/>
        <v>0</v>
      </c>
      <c r="F28" s="6">
        <f>17500</f>
        <v>17500</v>
      </c>
      <c r="G28" s="6">
        <f t="shared" si="3"/>
        <v>330274.9671520979</v>
      </c>
      <c r="H28" s="6">
        <f t="shared" si="4"/>
        <v>75005.985720044817</v>
      </c>
      <c r="I28" s="6">
        <f t="shared" si="5"/>
        <v>405280.95287214272</v>
      </c>
    </row>
    <row r="29" spans="1:9" x14ac:dyDescent="0.3">
      <c r="A29" s="3">
        <v>39</v>
      </c>
      <c r="B29" s="6">
        <f t="shared" si="2"/>
        <v>405280.95287214272</v>
      </c>
      <c r="C29" s="6"/>
      <c r="D29" s="6">
        <v>0</v>
      </c>
      <c r="E29" s="6">
        <f t="shared" si="1"/>
        <v>0</v>
      </c>
      <c r="F29" s="6">
        <f>17500</f>
        <v>17500</v>
      </c>
      <c r="G29" s="6">
        <f t="shared" si="3"/>
        <v>365859.265444007</v>
      </c>
      <c r="H29" s="6">
        <f t="shared" si="4"/>
        <v>78906.296977487145</v>
      </c>
      <c r="I29" s="6">
        <f t="shared" si="5"/>
        <v>444765.56242149416</v>
      </c>
    </row>
    <row r="30" spans="1:9" x14ac:dyDescent="0.3">
      <c r="A30" s="3">
        <v>40</v>
      </c>
      <c r="B30" s="6">
        <f t="shared" si="2"/>
        <v>444765.56242149416</v>
      </c>
      <c r="C30" s="6"/>
      <c r="D30" s="6">
        <v>0</v>
      </c>
      <c r="E30" s="6">
        <f t="shared" si="1"/>
        <v>0</v>
      </c>
      <c r="F30" s="6">
        <f>17500</f>
        <v>17500</v>
      </c>
      <c r="G30" s="6">
        <f t="shared" si="3"/>
        <v>403293.94724709541</v>
      </c>
      <c r="H30" s="6">
        <f t="shared" si="4"/>
        <v>83009.424420316485</v>
      </c>
      <c r="I30" s="6">
        <f t="shared" si="5"/>
        <v>486303.37166741188</v>
      </c>
    </row>
    <row r="31" spans="1:9" x14ac:dyDescent="0.3">
      <c r="A31" s="3">
        <v>41</v>
      </c>
      <c r="B31" s="6">
        <f t="shared" si="2"/>
        <v>486303.37166741188</v>
      </c>
      <c r="C31" s="6"/>
      <c r="D31" s="6">
        <v>0</v>
      </c>
      <c r="E31" s="6">
        <f t="shared" si="1"/>
        <v>0</v>
      </c>
      <c r="F31" s="6">
        <f>17500</f>
        <v>17500</v>
      </c>
      <c r="G31" s="6">
        <f t="shared" si="3"/>
        <v>442675.23250394437</v>
      </c>
      <c r="H31" s="6">
        <f t="shared" si="4"/>
        <v>87325.914490172945</v>
      </c>
      <c r="I31" s="6">
        <f t="shared" si="5"/>
        <v>530001.1469941173</v>
      </c>
    </row>
    <row r="32" spans="1:9" x14ac:dyDescent="0.3">
      <c r="A32" s="3">
        <v>42</v>
      </c>
      <c r="B32" s="6">
        <f t="shared" si="2"/>
        <v>530001.1469941173</v>
      </c>
      <c r="C32" s="6"/>
      <c r="D32" s="6">
        <v>0</v>
      </c>
      <c r="E32" s="6">
        <f t="shared" si="1"/>
        <v>0</v>
      </c>
      <c r="F32" s="6">
        <f>17500</f>
        <v>17500</v>
      </c>
      <c r="G32" s="6">
        <f t="shared" si="3"/>
        <v>484104.3445941495</v>
      </c>
      <c r="H32" s="6">
        <f t="shared" si="4"/>
        <v>91866.862043661939</v>
      </c>
      <c r="I32" s="6">
        <f t="shared" si="5"/>
        <v>575971.20663781138</v>
      </c>
    </row>
    <row r="33" spans="1:9" x14ac:dyDescent="0.3">
      <c r="A33" s="3">
        <v>43</v>
      </c>
      <c r="B33" s="6">
        <f t="shared" si="2"/>
        <v>575971.20663781138</v>
      </c>
      <c r="C33" s="6"/>
      <c r="D33" s="6">
        <v>0</v>
      </c>
      <c r="E33" s="6">
        <f t="shared" si="1"/>
        <v>0</v>
      </c>
      <c r="F33" s="6">
        <f>17500</f>
        <v>17500</v>
      </c>
      <c r="G33" s="6">
        <f t="shared" si="3"/>
        <v>527687.77051304525</v>
      </c>
      <c r="H33" s="6">
        <f t="shared" si="4"/>
        <v>96643.938869932361</v>
      </c>
      <c r="I33" s="6">
        <f t="shared" si="5"/>
        <v>624331.70938297757</v>
      </c>
    </row>
    <row r="34" spans="1:9" x14ac:dyDescent="0.3">
      <c r="A34" s="3">
        <v>44</v>
      </c>
      <c r="B34" s="6">
        <f t="shared" si="2"/>
        <v>624331.70938297757</v>
      </c>
      <c r="C34" s="6"/>
      <c r="D34" s="6">
        <v>0</v>
      </c>
      <c r="E34" s="6">
        <f t="shared" si="1"/>
        <v>0</v>
      </c>
      <c r="F34" s="6">
        <f>17500</f>
        <v>17500</v>
      </c>
      <c r="G34" s="6">
        <f t="shared" si="3"/>
        <v>573537.53457972361</v>
      </c>
      <c r="H34" s="6">
        <f t="shared" si="4"/>
        <v>101669.42369116885</v>
      </c>
      <c r="I34" s="6">
        <f t="shared" si="5"/>
        <v>675206.9582708925</v>
      </c>
    </row>
    <row r="35" spans="1:9" x14ac:dyDescent="0.3">
      <c r="A35" s="3">
        <v>45</v>
      </c>
      <c r="B35" s="6">
        <f t="shared" si="2"/>
        <v>675206.9582708925</v>
      </c>
      <c r="C35" s="6"/>
      <c r="D35" s="6">
        <v>0</v>
      </c>
      <c r="E35" s="6">
        <f t="shared" si="1"/>
        <v>0</v>
      </c>
      <c r="F35" s="6">
        <f>17500</f>
        <v>17500</v>
      </c>
      <c r="G35" s="6">
        <f t="shared" si="3"/>
        <v>621771.48637786927</v>
      </c>
      <c r="H35" s="6">
        <f t="shared" si="4"/>
        <v>106956.23372310963</v>
      </c>
      <c r="I35" s="6">
        <f t="shared" si="5"/>
        <v>728727.72010097886</v>
      </c>
    </row>
    <row r="36" spans="1:9" x14ac:dyDescent="0.3">
      <c r="A36" s="3">
        <v>46</v>
      </c>
      <c r="B36" s="6">
        <f t="shared" si="2"/>
        <v>728727.72010097886</v>
      </c>
      <c r="C36" s="6"/>
      <c r="D36" s="6">
        <v>0</v>
      </c>
      <c r="E36" s="6">
        <f t="shared" si="1"/>
        <v>0</v>
      </c>
      <c r="F36" s="6">
        <f>17500</f>
        <v>17500</v>
      </c>
      <c r="G36" s="6">
        <f t="shared" si="3"/>
        <v>672513.60366951849</v>
      </c>
      <c r="H36" s="6">
        <f t="shared" si="4"/>
        <v>112517.95787671134</v>
      </c>
      <c r="I36" s="6">
        <f t="shared" si="5"/>
        <v>785031.56154622987</v>
      </c>
    </row>
    <row r="37" spans="1:9" x14ac:dyDescent="0.3">
      <c r="A37" s="3">
        <v>47</v>
      </c>
      <c r="B37" s="6">
        <f t="shared" si="2"/>
        <v>785031.56154622987</v>
      </c>
      <c r="C37" s="6"/>
      <c r="D37" s="6">
        <v>0</v>
      </c>
      <c r="E37" s="6">
        <f t="shared" si="1"/>
        <v>0</v>
      </c>
      <c r="F37" s="6">
        <f>17500</f>
        <v>17500</v>
      </c>
      <c r="G37" s="6">
        <f t="shared" si="3"/>
        <v>725894.31106033351</v>
      </c>
      <c r="H37" s="6">
        <f t="shared" si="4"/>
        <v>118368.89168630034</v>
      </c>
      <c r="I37" s="6">
        <f t="shared" si="5"/>
        <v>844263.20274663391</v>
      </c>
    </row>
    <row r="38" spans="1:9" x14ac:dyDescent="0.3">
      <c r="A38" s="3">
        <v>48</v>
      </c>
      <c r="B38" s="6">
        <f t="shared" si="2"/>
        <v>844263.20274663391</v>
      </c>
      <c r="C38" s="6"/>
      <c r="D38" s="6">
        <v>0</v>
      </c>
      <c r="E38" s="6">
        <f t="shared" si="1"/>
        <v>0</v>
      </c>
      <c r="F38" s="6">
        <f>17500</f>
        <v>17500</v>
      </c>
      <c r="G38" s="6">
        <f t="shared" si="3"/>
        <v>782050.81523547089</v>
      </c>
      <c r="H38" s="6">
        <f t="shared" si="4"/>
        <v>124524.07405398796</v>
      </c>
      <c r="I38" s="6">
        <f t="shared" si="5"/>
        <v>906574.88928945886</v>
      </c>
    </row>
    <row r="39" spans="1:9" x14ac:dyDescent="0.3">
      <c r="A39" s="3">
        <v>49</v>
      </c>
      <c r="B39" s="6">
        <f t="shared" si="2"/>
        <v>906574.88928945886</v>
      </c>
      <c r="C39" s="6"/>
      <c r="D39" s="6">
        <v>0</v>
      </c>
      <c r="E39" s="6">
        <f t="shared" si="1"/>
        <v>0</v>
      </c>
      <c r="F39" s="6">
        <f>17500</f>
        <v>17500</v>
      </c>
      <c r="G39" s="6">
        <f t="shared" si="3"/>
        <v>841127.45762771543</v>
      </c>
      <c r="H39" s="6">
        <f t="shared" si="4"/>
        <v>130999.32590479535</v>
      </c>
      <c r="I39" s="6">
        <f t="shared" si="5"/>
        <v>972126.78353251074</v>
      </c>
    </row>
    <row r="40" spans="1:9" x14ac:dyDescent="0.3">
      <c r="A40" s="3">
        <v>50</v>
      </c>
      <c r="B40" s="6">
        <f t="shared" si="2"/>
        <v>972126.78353251074</v>
      </c>
      <c r="C40" s="6"/>
      <c r="D40" s="6">
        <v>0</v>
      </c>
      <c r="E40" s="6">
        <f t="shared" si="1"/>
        <v>0</v>
      </c>
      <c r="F40" s="6">
        <f>17500</f>
        <v>17500</v>
      </c>
      <c r="G40" s="6">
        <f t="shared" si="3"/>
        <v>903276.08542435663</v>
      </c>
      <c r="H40" s="6">
        <f t="shared" si="4"/>
        <v>137811.29085184471</v>
      </c>
      <c r="I40" s="6">
        <f t="shared" si="5"/>
        <v>1041087.3762762013</v>
      </c>
    </row>
    <row r="41" spans="1:9" x14ac:dyDescent="0.3">
      <c r="A41" s="3">
        <v>51</v>
      </c>
      <c r="B41" s="6">
        <f t="shared" si="2"/>
        <v>1041087.3762762013</v>
      </c>
      <c r="C41" s="6"/>
      <c r="D41" s="6"/>
      <c r="E41" s="6"/>
      <c r="F41" s="6">
        <f>17500</f>
        <v>17500</v>
      </c>
      <c r="G41" s="6">
        <f t="shared" si="3"/>
        <v>968656.44186642324</v>
      </c>
      <c r="H41" s="6">
        <f t="shared" si="4"/>
        <v>144977.47797614062</v>
      </c>
      <c r="I41" s="6">
        <f t="shared" si="5"/>
        <v>1113633.9198425638</v>
      </c>
    </row>
    <row r="42" spans="1:9" x14ac:dyDescent="0.3">
      <c r="A42" s="3">
        <v>52</v>
      </c>
      <c r="B42" s="6">
        <f t="shared" si="2"/>
        <v>1113633.9198425638</v>
      </c>
      <c r="C42" s="6"/>
      <c r="D42" s="6"/>
      <c r="E42" s="6"/>
      <c r="F42" s="6">
        <f>17500</f>
        <v>17500</v>
      </c>
      <c r="G42" s="6">
        <f t="shared" si="3"/>
        <v>1037436.5768434773</v>
      </c>
      <c r="H42" s="6">
        <f t="shared" si="4"/>
        <v>152516.30683089994</v>
      </c>
      <c r="I42" s="6">
        <f t="shared" si="5"/>
        <v>1189952.8836743773</v>
      </c>
    </row>
    <row r="43" spans="1:9" x14ac:dyDescent="0.3">
      <c r="A43" s="3">
        <v>53</v>
      </c>
      <c r="B43" s="6">
        <f t="shared" si="2"/>
        <v>1189952.8836743773</v>
      </c>
      <c r="C43" s="6"/>
      <c r="D43" s="6"/>
      <c r="E43" s="6"/>
      <c r="F43" s="6">
        <f>17500</f>
        <v>17500</v>
      </c>
      <c r="G43" s="6">
        <f t="shared" si="3"/>
        <v>1109793.2788393381</v>
      </c>
      <c r="H43" s="6">
        <f t="shared" si="4"/>
        <v>160447.15478610675</v>
      </c>
      <c r="I43" s="6">
        <f t="shared" si="5"/>
        <v>1270240.4336254448</v>
      </c>
    </row>
    <row r="44" spans="1:9" x14ac:dyDescent="0.3">
      <c r="A44" s="3">
        <v>54</v>
      </c>
      <c r="B44" s="6">
        <f t="shared" si="2"/>
        <v>1270240.4336254448</v>
      </c>
      <c r="C44" s="6"/>
      <c r="D44" s="6"/>
      <c r="E44" s="6"/>
      <c r="F44" s="6">
        <f>17500</f>
        <v>17500</v>
      </c>
      <c r="G44" s="6">
        <f t="shared" si="3"/>
        <v>1185912.5293389838</v>
      </c>
      <c r="H44" s="6">
        <f t="shared" si="4"/>
        <v>168790.40683498431</v>
      </c>
      <c r="I44" s="6">
        <f t="shared" si="5"/>
        <v>1354702.936173968</v>
      </c>
    </row>
    <row r="45" spans="1:9" x14ac:dyDescent="0.3">
      <c r="A45" s="3">
        <v>55</v>
      </c>
      <c r="B45" s="6">
        <f t="shared" si="2"/>
        <v>1354702.936173968</v>
      </c>
      <c r="C45" s="6"/>
      <c r="D45" s="6"/>
      <c r="E45" s="6"/>
      <c r="F45" s="6">
        <f>17500</f>
        <v>17500</v>
      </c>
      <c r="G45" s="6">
        <f t="shared" si="3"/>
        <v>1265989.980864611</v>
      </c>
      <c r="H45" s="6">
        <f t="shared" si="4"/>
        <v>177567.50799040351</v>
      </c>
      <c r="I45" s="6">
        <f t="shared" si="5"/>
        <v>1443557.4888550146</v>
      </c>
    </row>
    <row r="46" spans="1:9" x14ac:dyDescent="0.3">
      <c r="A46" s="3">
        <v>56</v>
      </c>
      <c r="B46" s="6">
        <f t="shared" si="2"/>
        <v>1443557.4888550146</v>
      </c>
      <c r="C46" s="6"/>
      <c r="D46" s="6"/>
      <c r="E46" s="6"/>
      <c r="F46" s="6">
        <f>17500</f>
        <v>17500</v>
      </c>
      <c r="G46" s="6">
        <f t="shared" si="3"/>
        <v>1350231.4598695708</v>
      </c>
      <c r="H46" s="6">
        <f t="shared" si="4"/>
        <v>186801.0184059045</v>
      </c>
      <c r="I46" s="6">
        <f t="shared" si="5"/>
        <v>1537032.4782754753</v>
      </c>
    </row>
    <row r="47" spans="1:9" x14ac:dyDescent="0.3">
      <c r="A47" s="3">
        <v>57</v>
      </c>
      <c r="B47" s="6">
        <f t="shared" si="2"/>
        <v>1537032.4782754753</v>
      </c>
      <c r="C47" s="6"/>
      <c r="D47" s="6"/>
      <c r="E47" s="6"/>
      <c r="F47" s="6">
        <f>17500</f>
        <v>17500</v>
      </c>
      <c r="G47" s="6">
        <f t="shared" si="3"/>
        <v>1438853.4957827886</v>
      </c>
      <c r="H47" s="6">
        <f t="shared" si="4"/>
        <v>196514.67136301156</v>
      </c>
      <c r="I47" s="6">
        <f t="shared" si="5"/>
        <v>1635368.1671458001</v>
      </c>
    </row>
    <row r="48" spans="1:9" x14ac:dyDescent="0.3">
      <c r="A48" s="3">
        <v>58</v>
      </c>
      <c r="B48" s="6">
        <f t="shared" si="2"/>
        <v>1635368.1671458001</v>
      </c>
      <c r="C48" s="6"/>
      <c r="D48" s="6"/>
      <c r="E48" s="6"/>
      <c r="F48" s="6">
        <f>17500</f>
        <v>17500</v>
      </c>
      <c r="G48" s="6">
        <f t="shared" si="3"/>
        <v>1532083.8775634938</v>
      </c>
      <c r="H48" s="6">
        <f t="shared" si="4"/>
        <v>206733.43427388815</v>
      </c>
      <c r="I48" s="6">
        <f t="shared" si="5"/>
        <v>1738817.3118373819</v>
      </c>
    </row>
    <row r="49" spans="1:9" x14ac:dyDescent="0.3">
      <c r="A49" s="3">
        <v>59</v>
      </c>
      <c r="B49" s="6">
        <f t="shared" si="2"/>
        <v>1738817.3118373819</v>
      </c>
      <c r="C49" s="6"/>
      <c r="D49" s="6"/>
      <c r="E49" s="6"/>
      <c r="F49" s="6">
        <f>17500</f>
        <v>17500</v>
      </c>
      <c r="G49" s="6">
        <f t="shared" si="3"/>
        <v>1630162.2391967955</v>
      </c>
      <c r="H49" s="6">
        <f t="shared" si="4"/>
        <v>217483.57285613034</v>
      </c>
      <c r="I49" s="6">
        <f t="shared" si="5"/>
        <v>1847645.8120529258</v>
      </c>
    </row>
    <row r="50" spans="1:9" x14ac:dyDescent="0.3">
      <c r="A50" s="3">
        <v>60</v>
      </c>
      <c r="B50" s="6">
        <f t="shared" si="2"/>
        <v>1847645.8120529258</v>
      </c>
      <c r="C50" s="6"/>
      <c r="D50" s="6"/>
      <c r="E50" s="6"/>
      <c r="F50" s="6">
        <f>17500</f>
        <v>17500</v>
      </c>
      <c r="G50" s="6">
        <f t="shared" si="3"/>
        <v>1733340.6756350289</v>
      </c>
      <c r="H50" s="6">
        <f>(5000000+H49)*(1+$B$3)</f>
        <v>5488792.7186446488</v>
      </c>
      <c r="I50" s="6">
        <f t="shared" si="5"/>
        <v>7222133.3942796774</v>
      </c>
    </row>
    <row r="51" spans="1:9" x14ac:dyDescent="0.3">
      <c r="A51" s="3">
        <v>61</v>
      </c>
      <c r="B51" s="6">
        <f t="shared" si="2"/>
        <v>7222133.3942796774</v>
      </c>
      <c r="C51" s="6"/>
      <c r="D51" s="6"/>
      <c r="E51" s="6"/>
      <c r="F51" s="6">
        <v>0</v>
      </c>
      <c r="G51" s="6">
        <f t="shared" si="3"/>
        <v>1841884.3907680504</v>
      </c>
      <c r="H51" s="6">
        <f>(H50-$B$5)*(1+$B$3)</f>
        <v>5458609.9400141705</v>
      </c>
      <c r="I51" s="6">
        <f t="shared" si="5"/>
        <v>7300494.3307822207</v>
      </c>
    </row>
    <row r="52" spans="1:9" x14ac:dyDescent="0.3">
      <c r="A52" s="3">
        <v>62</v>
      </c>
      <c r="B52" s="6">
        <f t="shared" si="2"/>
        <v>7300494.3307822207</v>
      </c>
      <c r="C52" s="6"/>
      <c r="D52" s="6"/>
      <c r="E52" s="6"/>
      <c r="F52" s="6">
        <v>0</v>
      </c>
      <c r="G52" s="6">
        <f t="shared" si="3"/>
        <v>1937662.3790879892</v>
      </c>
      <c r="H52" s="6">
        <f t="shared" ref="H52:H60" si="6">(H51-$B$5)*(1+$B$3)</f>
        <v>5426857.6568949074</v>
      </c>
      <c r="I52" s="6">
        <f t="shared" si="5"/>
        <v>7364520.0359828966</v>
      </c>
    </row>
    <row r="53" spans="1:9" x14ac:dyDescent="0.3">
      <c r="A53" s="3">
        <v>63</v>
      </c>
      <c r="B53" s="6">
        <f t="shared" si="2"/>
        <v>7364520.0359828966</v>
      </c>
      <c r="C53" s="6"/>
      <c r="D53" s="6"/>
      <c r="E53" s="6"/>
      <c r="F53" s="6">
        <v>0</v>
      </c>
      <c r="G53" s="6">
        <f t="shared" si="3"/>
        <v>2038420.8228005648</v>
      </c>
      <c r="H53" s="6">
        <f t="shared" si="6"/>
        <v>5393454.2550534429</v>
      </c>
      <c r="I53" s="6">
        <f t="shared" si="5"/>
        <v>7431875.0778540075</v>
      </c>
    </row>
    <row r="54" spans="1:9" x14ac:dyDescent="0.3">
      <c r="A54" s="3">
        <v>64</v>
      </c>
      <c r="B54" s="6">
        <f t="shared" si="2"/>
        <v>7431875.0778540075</v>
      </c>
      <c r="C54" s="6"/>
      <c r="D54" s="6"/>
      <c r="E54" s="6"/>
      <c r="F54" s="6">
        <v>0</v>
      </c>
      <c r="G54" s="6">
        <f t="shared" si="3"/>
        <v>2144418.7055861941</v>
      </c>
      <c r="H54" s="6">
        <f t="shared" si="6"/>
        <v>5358313.8763162224</v>
      </c>
      <c r="I54" s="6">
        <f t="shared" si="5"/>
        <v>7502732.5819024164</v>
      </c>
    </row>
    <row r="55" spans="1:9" x14ac:dyDescent="0.3">
      <c r="A55" s="3">
        <v>65</v>
      </c>
      <c r="B55" s="6">
        <f t="shared" si="2"/>
        <v>7502732.5819024164</v>
      </c>
      <c r="C55" s="6"/>
      <c r="D55" s="6"/>
      <c r="E55" s="6"/>
      <c r="F55" s="6">
        <v>0</v>
      </c>
      <c r="G55" s="6">
        <f t="shared" si="3"/>
        <v>2255928.478276676</v>
      </c>
      <c r="H55" s="6">
        <f t="shared" si="6"/>
        <v>5321346.1978846658</v>
      </c>
      <c r="I55" s="6">
        <f t="shared" si="5"/>
        <v>7577274.6761613414</v>
      </c>
    </row>
    <row r="56" spans="1:9" x14ac:dyDescent="0.3">
      <c r="A56" s="3">
        <v>66</v>
      </c>
      <c r="B56" s="6">
        <f t="shared" si="2"/>
        <v>7577274.6761613414</v>
      </c>
      <c r="C56" s="6"/>
      <c r="D56" s="6"/>
      <c r="E56" s="6"/>
      <c r="F56" s="6">
        <v>0</v>
      </c>
      <c r="G56" s="6">
        <f t="shared" si="3"/>
        <v>2373236.7591470634</v>
      </c>
      <c r="H56" s="6">
        <f t="shared" si="6"/>
        <v>5282456.2001746688</v>
      </c>
      <c r="I56" s="6">
        <f t="shared" si="0"/>
        <v>7655692.9593217317</v>
      </c>
    </row>
    <row r="57" spans="1:9" x14ac:dyDescent="0.3">
      <c r="A57" s="3">
        <v>67</v>
      </c>
      <c r="B57" s="6">
        <f t="shared" si="2"/>
        <v>7655692.9593217317</v>
      </c>
      <c r="C57" s="6"/>
      <c r="D57" s="6"/>
      <c r="E57" s="6"/>
      <c r="F57" s="6"/>
      <c r="G57" s="6">
        <f>G56*(1+$B$3)</f>
        <v>2496645.070622711</v>
      </c>
      <c r="H57" s="6">
        <f t="shared" si="6"/>
        <v>5241543.9225837514</v>
      </c>
      <c r="I57" s="6">
        <f t="shared" si="0"/>
        <v>7738188.9932064619</v>
      </c>
    </row>
    <row r="58" spans="1:9" x14ac:dyDescent="0.3">
      <c r="A58" s="3">
        <v>68</v>
      </c>
      <c r="B58" s="6">
        <f t="shared" si="2"/>
        <v>7738188.9932064619</v>
      </c>
      <c r="C58" s="6"/>
      <c r="D58" s="6"/>
      <c r="E58" s="6"/>
      <c r="F58" s="6"/>
      <c r="G58" s="6">
        <f t="shared" ref="G58:G60" si="7">G57*(1+$B$3)</f>
        <v>2626470.6142950919</v>
      </c>
      <c r="H58" s="6">
        <f t="shared" si="6"/>
        <v>5198504.2065581065</v>
      </c>
      <c r="I58" s="6">
        <f t="shared" si="0"/>
        <v>7824974.8208531979</v>
      </c>
    </row>
    <row r="59" spans="1:9" x14ac:dyDescent="0.3">
      <c r="A59" s="3">
        <v>69</v>
      </c>
      <c r="B59" s="6">
        <f t="shared" si="2"/>
        <v>7824974.8208531979</v>
      </c>
      <c r="C59" s="6"/>
      <c r="D59" s="6"/>
      <c r="E59" s="6"/>
      <c r="F59" s="6"/>
      <c r="G59" s="6">
        <f t="shared" si="7"/>
        <v>2763047.0862384369</v>
      </c>
      <c r="H59" s="6">
        <f t="shared" si="6"/>
        <v>5153226.4252991285</v>
      </c>
      <c r="I59" s="6">
        <f t="shared" si="0"/>
        <v>7916273.5115375649</v>
      </c>
    </row>
    <row r="60" spans="1:9" x14ac:dyDescent="0.3">
      <c r="A60" s="3">
        <v>70</v>
      </c>
      <c r="B60" s="6">
        <f t="shared" si="2"/>
        <v>7916273.5115375649</v>
      </c>
      <c r="C60" s="6"/>
      <c r="D60" s="6"/>
      <c r="E60" s="6"/>
      <c r="F60" s="6"/>
      <c r="G60" s="6">
        <f t="shared" si="7"/>
        <v>2906725.5347228358</v>
      </c>
      <c r="H60" s="6">
        <f t="shared" si="6"/>
        <v>5105594.1994146835</v>
      </c>
      <c r="I60" s="6">
        <f t="shared" si="0"/>
        <v>8012319.7341375193</v>
      </c>
    </row>
    <row r="61" spans="1:9" x14ac:dyDescent="0.3">
      <c r="A61" s="3">
        <v>71</v>
      </c>
      <c r="B61" s="6">
        <f t="shared" si="2"/>
        <v>8012319.7341375193</v>
      </c>
      <c r="C61" s="6"/>
      <c r="D61" s="8"/>
      <c r="E61" s="6"/>
      <c r="F61" s="6"/>
      <c r="G61" s="6">
        <f>(G60-$B$5)*(1+$B$3)</f>
        <v>2742275.2625284232</v>
      </c>
      <c r="H61" s="6">
        <f t="shared" ref="H61:H72" si="8">H60*(1+$B$3)</f>
        <v>5371085.0977842472</v>
      </c>
      <c r="I61" s="6">
        <f t="shared" si="0"/>
        <v>8113360.3603126705</v>
      </c>
    </row>
    <row r="62" spans="1:9" x14ac:dyDescent="0.3">
      <c r="A62" s="3">
        <v>72</v>
      </c>
      <c r="B62" s="6">
        <f t="shared" si="2"/>
        <v>8113360.3603126705</v>
      </c>
      <c r="C62" s="6"/>
      <c r="D62" s="6"/>
      <c r="E62" s="6"/>
      <c r="F62" s="6"/>
      <c r="G62" s="6">
        <f t="shared" ref="G62:G72" si="9">(G61-$B$5)*(1+$B$3)</f>
        <v>2569273.5761799011</v>
      </c>
      <c r="H62" s="6">
        <f t="shared" si="8"/>
        <v>5650381.5228690282</v>
      </c>
      <c r="I62" s="6">
        <f t="shared" si="0"/>
        <v>8219655.0990489293</v>
      </c>
    </row>
    <row r="63" spans="1:9" x14ac:dyDescent="0.3">
      <c r="A63" s="3">
        <v>73</v>
      </c>
      <c r="B63" s="6">
        <f t="shared" si="2"/>
        <v>8219655.0990489293</v>
      </c>
      <c r="C63" s="6"/>
      <c r="D63" s="6"/>
      <c r="E63" s="6"/>
      <c r="F63" s="6"/>
      <c r="G63" s="6">
        <f t="shared" si="9"/>
        <v>2387275.8021412562</v>
      </c>
      <c r="H63" s="6">
        <f t="shared" si="8"/>
        <v>5944201.3620582176</v>
      </c>
      <c r="I63" s="6">
        <f t="shared" si="0"/>
        <v>8331477.1641994733</v>
      </c>
    </row>
    <row r="64" spans="1:9" x14ac:dyDescent="0.3">
      <c r="A64" s="3">
        <v>74</v>
      </c>
      <c r="B64" s="6">
        <f t="shared" si="2"/>
        <v>8331477.1641994733</v>
      </c>
      <c r="C64" s="6"/>
      <c r="D64" s="6"/>
      <c r="E64" s="6"/>
      <c r="F64" s="6"/>
      <c r="G64" s="6">
        <f t="shared" si="9"/>
        <v>2195814.1438526018</v>
      </c>
      <c r="H64" s="6">
        <f t="shared" si="8"/>
        <v>6253299.8328852449</v>
      </c>
      <c r="I64" s="6">
        <f t="shared" si="0"/>
        <v>8449113.9767378457</v>
      </c>
    </row>
    <row r="65" spans="1:9" x14ac:dyDescent="0.3">
      <c r="A65" s="3">
        <v>75</v>
      </c>
      <c r="B65" s="6">
        <f t="shared" si="2"/>
        <v>8449113.9767378457</v>
      </c>
      <c r="C65" s="6"/>
      <c r="D65" s="6"/>
      <c r="E65" s="6"/>
      <c r="F65" s="6"/>
      <c r="G65" s="6">
        <f t="shared" si="9"/>
        <v>1994396.4793329372</v>
      </c>
      <c r="H65" s="6">
        <f t="shared" si="8"/>
        <v>6578471.4241952775</v>
      </c>
      <c r="I65" s="6">
        <f t="shared" si="0"/>
        <v>8572867.9035282154</v>
      </c>
    </row>
    <row r="66" spans="1:9" x14ac:dyDescent="0.3">
      <c r="A66" s="3">
        <v>76</v>
      </c>
      <c r="B66" s="6">
        <f t="shared" si="2"/>
        <v>8572867.9035282154</v>
      </c>
      <c r="C66" s="6"/>
      <c r="D66" s="6"/>
      <c r="E66" s="6"/>
      <c r="F66" s="6"/>
      <c r="G66" s="6">
        <f t="shared" si="9"/>
        <v>1782505.0962582501</v>
      </c>
      <c r="H66" s="6">
        <f t="shared" si="8"/>
        <v>6920551.9382534325</v>
      </c>
      <c r="I66" s="6">
        <f t="shared" si="0"/>
        <v>8703057.0345116816</v>
      </c>
    </row>
    <row r="67" spans="1:9" x14ac:dyDescent="0.3">
      <c r="A67" s="3">
        <v>77</v>
      </c>
      <c r="B67" s="6">
        <f t="shared" si="2"/>
        <v>8703057.0345116816</v>
      </c>
      <c r="C67" s="6"/>
      <c r="D67" s="6"/>
      <c r="E67" s="6"/>
      <c r="F67" s="6"/>
      <c r="G67" s="6">
        <f t="shared" si="9"/>
        <v>1559595.3612636791</v>
      </c>
      <c r="H67" s="6">
        <f t="shared" si="8"/>
        <v>7280420.6390426112</v>
      </c>
      <c r="I67" s="6">
        <f t="shared" si="0"/>
        <v>8840016.0003062896</v>
      </c>
    </row>
    <row r="68" spans="1:9" x14ac:dyDescent="0.3">
      <c r="A68" s="3">
        <v>78</v>
      </c>
      <c r="B68" s="6">
        <f t="shared" si="2"/>
        <v>8840016.0003062896</v>
      </c>
      <c r="C68" s="6"/>
      <c r="D68" s="6"/>
      <c r="E68" s="6"/>
      <c r="F68" s="6"/>
      <c r="G68" s="6">
        <f t="shared" si="9"/>
        <v>1325094.3200493904</v>
      </c>
      <c r="H68" s="6">
        <f t="shared" si="8"/>
        <v>7659002.5122728273</v>
      </c>
      <c r="I68" s="6">
        <f t="shared" si="0"/>
        <v>8984096.8323222175</v>
      </c>
    </row>
    <row r="69" spans="1:9" x14ac:dyDescent="0.3">
      <c r="A69" s="3">
        <v>79</v>
      </c>
      <c r="B69" s="6">
        <f t="shared" si="2"/>
        <v>8984096.8323222175</v>
      </c>
      <c r="C69" s="6"/>
      <c r="D69" s="6"/>
      <c r="E69" s="6"/>
      <c r="F69" s="6"/>
      <c r="G69" s="6">
        <f t="shared" si="9"/>
        <v>1078399.2246919589</v>
      </c>
      <c r="H69" s="6">
        <f t="shared" si="8"/>
        <v>8057270.6429110151</v>
      </c>
      <c r="I69" s="6">
        <f t="shared" si="0"/>
        <v>9135669.8676029742</v>
      </c>
    </row>
    <row r="70" spans="1:9" x14ac:dyDescent="0.3">
      <c r="A70" s="3">
        <v>80</v>
      </c>
      <c r="B70" s="6">
        <f t="shared" si="2"/>
        <v>9135669.8676029742</v>
      </c>
      <c r="C70" s="6"/>
      <c r="D70" s="6"/>
      <c r="E70" s="6"/>
      <c r="F70" s="6"/>
      <c r="G70" s="6">
        <f t="shared" si="9"/>
        <v>818875.98437594075</v>
      </c>
      <c r="H70" s="6">
        <f t="shared" si="8"/>
        <v>8476248.7163423877</v>
      </c>
      <c r="I70" s="6">
        <f t="shared" si="0"/>
        <v>9295124.7007183284</v>
      </c>
    </row>
    <row r="71" spans="1:9" x14ac:dyDescent="0.3">
      <c r="A71" s="3">
        <v>81</v>
      </c>
      <c r="B71" s="6">
        <f t="shared" si="2"/>
        <v>9295124.7007183284</v>
      </c>
      <c r="C71" s="6"/>
      <c r="D71" s="6"/>
      <c r="E71" s="6"/>
      <c r="F71" s="6"/>
      <c r="G71" s="6">
        <f t="shared" si="9"/>
        <v>545857.53556348966</v>
      </c>
      <c r="H71" s="6">
        <f t="shared" si="8"/>
        <v>8917013.6495921928</v>
      </c>
      <c r="I71" s="6">
        <f t="shared" si="0"/>
        <v>9462871.1851556823</v>
      </c>
    </row>
    <row r="72" spans="1:9" x14ac:dyDescent="0.3">
      <c r="A72" s="3">
        <v>82</v>
      </c>
      <c r="B72" s="6">
        <f t="shared" si="2"/>
        <v>9462871.1851556823</v>
      </c>
      <c r="C72" s="6"/>
      <c r="D72" s="6"/>
      <c r="E72" s="6"/>
      <c r="F72" s="6"/>
      <c r="G72" s="6">
        <f t="shared" si="9"/>
        <v>258642.12741279113</v>
      </c>
      <c r="H72" s="6">
        <f t="shared" si="8"/>
        <v>9380698.3593709879</v>
      </c>
      <c r="I72" s="6">
        <f t="shared" si="0"/>
        <v>9639340.4867837783</v>
      </c>
    </row>
    <row r="73" spans="1:9" x14ac:dyDescent="0.3">
      <c r="A73" s="3">
        <v>83</v>
      </c>
      <c r="B73" s="6">
        <f t="shared" si="2"/>
        <v>9639340.4867837783</v>
      </c>
      <c r="C73" s="6"/>
      <c r="D73" s="6"/>
      <c r="E73" s="6"/>
      <c r="F73" s="6"/>
      <c r="G73" s="6">
        <f>G72*(1+$B$3)</f>
        <v>272091.51803825627</v>
      </c>
      <c r="H73" s="6">
        <f t="shared" ref="H73:H80" si="10">(H72-$B$5)*(1+$B$3)</f>
        <v>9552894.674058279</v>
      </c>
      <c r="I73" s="6">
        <f t="shared" si="0"/>
        <v>9824986.1920965351</v>
      </c>
    </row>
    <row r="74" spans="1:9" x14ac:dyDescent="0.3">
      <c r="A74" s="3">
        <v>84</v>
      </c>
      <c r="B74" s="6">
        <f t="shared" si="2"/>
        <v>9824986.1920965351</v>
      </c>
      <c r="C74" s="6"/>
      <c r="D74" s="6"/>
      <c r="E74" s="6"/>
      <c r="F74" s="6"/>
      <c r="G74" s="6">
        <f t="shared" ref="G74:G80" si="11">G73*(1+$B$3)</f>
        <v>286240.27697624563</v>
      </c>
      <c r="H74" s="6">
        <f t="shared" si="10"/>
        <v>9734045.19710931</v>
      </c>
      <c r="I74" s="6">
        <f t="shared" ref="I74:I80" si="12">E74+G74+H74</f>
        <v>10020285.474085556</v>
      </c>
    </row>
    <row r="75" spans="1:9" x14ac:dyDescent="0.3">
      <c r="A75" s="3">
        <v>85</v>
      </c>
      <c r="B75" s="6">
        <f t="shared" si="2"/>
        <v>10020285.474085556</v>
      </c>
      <c r="C75" s="6"/>
      <c r="D75" s="6"/>
      <c r="E75" s="6"/>
      <c r="F75" s="6"/>
      <c r="G75" s="6">
        <f t="shared" si="11"/>
        <v>301124.7713790104</v>
      </c>
      <c r="H75" s="6">
        <f t="shared" si="10"/>
        <v>9924615.5473589953</v>
      </c>
      <c r="I75" s="6">
        <f t="shared" si="12"/>
        <v>10225740.318738006</v>
      </c>
    </row>
    <row r="76" spans="1:9" x14ac:dyDescent="0.3">
      <c r="A76" s="3">
        <v>86</v>
      </c>
      <c r="B76" s="6">
        <f t="shared" si="2"/>
        <v>10225740.318738006</v>
      </c>
      <c r="C76" s="6"/>
      <c r="D76" s="6"/>
      <c r="E76" s="6"/>
      <c r="F76" s="6"/>
      <c r="G76" s="6">
        <f t="shared" si="11"/>
        <v>316783.25949071895</v>
      </c>
      <c r="H76" s="6">
        <f t="shared" si="10"/>
        <v>10125095.555821663</v>
      </c>
      <c r="I76" s="6">
        <f t="shared" si="12"/>
        <v>10441878.815312382</v>
      </c>
    </row>
    <row r="77" spans="1:9" x14ac:dyDescent="0.3">
      <c r="A77" s="3">
        <v>87</v>
      </c>
      <c r="B77" s="6">
        <f t="shared" si="2"/>
        <v>10441878.815312382</v>
      </c>
      <c r="C77" s="6"/>
      <c r="D77" s="6"/>
      <c r="E77" s="6"/>
      <c r="F77" s="6"/>
      <c r="G77" s="6">
        <f t="shared" si="11"/>
        <v>333255.98898423638</v>
      </c>
      <c r="H77" s="6">
        <f t="shared" si="10"/>
        <v>10336000.52472439</v>
      </c>
      <c r="I77" s="6">
        <f t="shared" si="12"/>
        <v>10669256.513708627</v>
      </c>
    </row>
    <row r="78" spans="1:9" x14ac:dyDescent="0.3">
      <c r="A78" s="3">
        <v>88</v>
      </c>
      <c r="B78" s="6">
        <f t="shared" si="2"/>
        <v>10669256.513708627</v>
      </c>
      <c r="C78" s="6"/>
      <c r="D78" s="6"/>
      <c r="E78" s="6"/>
      <c r="F78" s="6"/>
      <c r="G78" s="6">
        <f t="shared" si="11"/>
        <v>350585.30041141668</v>
      </c>
      <c r="H78" s="6">
        <f t="shared" si="10"/>
        <v>10557872.552010059</v>
      </c>
      <c r="I78" s="6">
        <f t="shared" si="12"/>
        <v>10908457.852421476</v>
      </c>
    </row>
    <row r="79" spans="1:9" x14ac:dyDescent="0.3">
      <c r="A79" s="3">
        <v>89</v>
      </c>
      <c r="B79" s="6">
        <f t="shared" si="2"/>
        <v>10908457.852421476</v>
      </c>
      <c r="C79" s="6"/>
      <c r="D79" s="6"/>
      <c r="E79" s="6"/>
      <c r="F79" s="6"/>
      <c r="G79" s="6">
        <f t="shared" si="11"/>
        <v>368815.73603281035</v>
      </c>
      <c r="H79" s="6">
        <f t="shared" si="10"/>
        <v>10791281.924714582</v>
      </c>
      <c r="I79" s="6">
        <f t="shared" si="12"/>
        <v>11160097.660747392</v>
      </c>
    </row>
    <row r="80" spans="1:9" x14ac:dyDescent="0.3">
      <c r="A80" s="3">
        <v>90</v>
      </c>
      <c r="B80" s="6">
        <f t="shared" si="2"/>
        <v>11160097.660747392</v>
      </c>
      <c r="C80" s="6"/>
      <c r="D80" s="6"/>
      <c r="E80" s="6"/>
      <c r="F80" s="6"/>
      <c r="G80" s="6">
        <f t="shared" si="11"/>
        <v>387994.15430651652</v>
      </c>
      <c r="H80" s="6">
        <f t="shared" si="10"/>
        <v>11036828.58479974</v>
      </c>
      <c r="I80" s="6">
        <f t="shared" si="12"/>
        <v>11424822.739106257</v>
      </c>
    </row>
  </sheetData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E72" sqref="E72"/>
    </sheetView>
  </sheetViews>
  <sheetFormatPr defaultRowHeight="15" x14ac:dyDescent="0.25"/>
  <cols>
    <col min="1" max="1" width="12.140625" customWidth="1"/>
    <col min="2" max="2" width="15.28515625" bestFit="1" customWidth="1"/>
    <col min="3" max="4" width="18.42578125" bestFit="1" customWidth="1"/>
  </cols>
  <sheetData>
    <row r="1" spans="1:4" x14ac:dyDescent="0.25">
      <c r="A1" s="2" t="s">
        <v>0</v>
      </c>
      <c r="B1" t="s">
        <v>15</v>
      </c>
      <c r="C1" t="s">
        <v>17</v>
      </c>
      <c r="D1" t="s">
        <v>16</v>
      </c>
    </row>
    <row r="2" spans="1:4" x14ac:dyDescent="0.25">
      <c r="A2">
        <v>18</v>
      </c>
      <c r="B2" s="1">
        <f>UC!I8</f>
        <v>0</v>
      </c>
      <c r="C2" s="1">
        <f>LUC!I8</f>
        <v>0</v>
      </c>
      <c r="D2" s="1">
        <f>UMC!I8</f>
        <v>-31398</v>
      </c>
    </row>
    <row r="3" spans="1:4" x14ac:dyDescent="0.25">
      <c r="A3">
        <v>19</v>
      </c>
      <c r="B3" s="1">
        <f>UC!I9</f>
        <v>0</v>
      </c>
      <c r="C3" s="1">
        <f>LUC!I9</f>
        <v>0</v>
      </c>
      <c r="D3" s="1">
        <f>UMC!I9</f>
        <v>-64259.146799999995</v>
      </c>
    </row>
    <row r="4" spans="1:4" x14ac:dyDescent="0.25">
      <c r="A4">
        <v>20</v>
      </c>
      <c r="B4" s="1">
        <f>UC!I10</f>
        <v>0</v>
      </c>
      <c r="C4" s="1">
        <f>LUC!I10</f>
        <v>0</v>
      </c>
      <c r="D4" s="1">
        <f>UMC!I10</f>
        <v>-98651.623040879989</v>
      </c>
    </row>
    <row r="5" spans="1:4" x14ac:dyDescent="0.25">
      <c r="A5">
        <v>21</v>
      </c>
      <c r="B5" s="1">
        <f>UC!I11</f>
        <v>0</v>
      </c>
      <c r="C5" s="1">
        <f>LUC!I11</f>
        <v>0</v>
      </c>
      <c r="D5" s="1">
        <f>UMC!I11</f>
        <v>-134646.788674585</v>
      </c>
    </row>
    <row r="6" spans="1:4" x14ac:dyDescent="0.25">
      <c r="A6">
        <v>22</v>
      </c>
      <c r="B6" s="1">
        <f>UC!I12</f>
        <v>0</v>
      </c>
      <c r="C6" s="1">
        <f>LUC!I12</f>
        <v>0</v>
      </c>
      <c r="D6" s="1">
        <f>UMC!I12</f>
        <v>-131690.73962306007</v>
      </c>
    </row>
    <row r="7" spans="1:4" x14ac:dyDescent="0.25">
      <c r="A7">
        <v>23</v>
      </c>
      <c r="B7" s="1">
        <f>UC!I13</f>
        <v>0</v>
      </c>
      <c r="C7" s="1">
        <f>LUC!I13</f>
        <v>0</v>
      </c>
      <c r="D7" s="1">
        <f>UMC!I13</f>
        <v>-128596.93868573409</v>
      </c>
    </row>
    <row r="8" spans="1:4" x14ac:dyDescent="0.25">
      <c r="A8">
        <v>24</v>
      </c>
      <c r="B8" s="1">
        <f>UC!I14</f>
        <v>0</v>
      </c>
      <c r="C8" s="1">
        <f>LUC!I14</f>
        <v>-31398</v>
      </c>
      <c r="D8" s="1">
        <f>UMC!I14</f>
        <v>-165987.55602848929</v>
      </c>
    </row>
    <row r="9" spans="1:4" x14ac:dyDescent="0.25">
      <c r="A9">
        <v>25</v>
      </c>
      <c r="B9" s="1">
        <f>UC!I15</f>
        <v>0</v>
      </c>
      <c r="C9" s="1">
        <f>LUC!I15</f>
        <v>-64259.146799999995</v>
      </c>
      <c r="D9" s="1">
        <f>UMC!I15</f>
        <v>-205120.57613941689</v>
      </c>
    </row>
    <row r="10" spans="1:4" x14ac:dyDescent="0.25">
      <c r="A10">
        <v>26</v>
      </c>
      <c r="B10" s="1">
        <f>UC!I16</f>
        <v>18410</v>
      </c>
      <c r="C10" s="1">
        <f>LUC!I16</f>
        <v>-44438.400507829065</v>
      </c>
      <c r="D10" s="1">
        <f>UMC!I16</f>
        <v>-182207.33627890874</v>
      </c>
    </row>
    <row r="11" spans="1:4" x14ac:dyDescent="0.25">
      <c r="A11">
        <v>27</v>
      </c>
      <c r="B11" s="1">
        <f>UC!I17</f>
        <v>37777.32</v>
      </c>
      <c r="C11" s="1">
        <f>LUC!I17</f>
        <v>-23594.593438442964</v>
      </c>
      <c r="D11" s="1">
        <f>UMC!I17</f>
        <v>-158126.9254409009</v>
      </c>
    </row>
    <row r="12" spans="1:4" x14ac:dyDescent="0.25">
      <c r="A12">
        <v>28</v>
      </c>
      <c r="B12" s="1">
        <f>UC!I18</f>
        <v>58151.740640000004</v>
      </c>
      <c r="C12" s="1">
        <f>LUC!I18</f>
        <v>-1674.8814316234711</v>
      </c>
      <c r="D12" s="1">
        <f>UMC!I18</f>
        <v>-132819.78392984188</v>
      </c>
    </row>
    <row r="13" spans="1:4" x14ac:dyDescent="0.25">
      <c r="A13">
        <v>29</v>
      </c>
      <c r="B13" s="1">
        <f>UC!I19</f>
        <v>79585.631153280003</v>
      </c>
      <c r="C13" s="1">
        <f>LUC!I19</f>
        <v>21376.311026169809</v>
      </c>
      <c r="D13" s="1">
        <f>UMC!I19</f>
        <v>-106223.30775291153</v>
      </c>
    </row>
    <row r="14" spans="1:4" x14ac:dyDescent="0.25">
      <c r="A14">
        <v>30</v>
      </c>
      <c r="B14" s="1">
        <f>UC!I20</f>
        <v>152134.08397325058</v>
      </c>
      <c r="C14" s="1">
        <f>LUC!I20</f>
        <v>95617.432061267973</v>
      </c>
      <c r="D14" s="1">
        <f>UMC!I20</f>
        <v>-73271.6927773645</v>
      </c>
    </row>
    <row r="15" spans="1:4" x14ac:dyDescent="0.25">
      <c r="A15">
        <v>31</v>
      </c>
      <c r="B15" s="1">
        <f>UC!I21</f>
        <v>178455.05633985961</v>
      </c>
      <c r="C15" s="1">
        <f>LUC!I21</f>
        <v>123709.95098182955</v>
      </c>
      <c r="D15" s="1">
        <f>UMC!I21</f>
        <v>-43635.770898729141</v>
      </c>
    </row>
    <row r="16" spans="1:4" x14ac:dyDescent="0.25">
      <c r="A16">
        <v>32</v>
      </c>
      <c r="B16" s="1">
        <f>UC!I22</f>
        <v>206144.71926953233</v>
      </c>
      <c r="C16" s="1">
        <f>LUC!I22</f>
        <v>153253.71453486901</v>
      </c>
      <c r="D16" s="1">
        <f>UMC!I22</f>
        <v>-12489.317809769669</v>
      </c>
    </row>
    <row r="17" spans="1:4" x14ac:dyDescent="0.25">
      <c r="A17">
        <v>33</v>
      </c>
      <c r="B17" s="1">
        <f>UC!I23</f>
        <v>235274.24467154802</v>
      </c>
      <c r="C17" s="1">
        <f>LUC!I23</f>
        <v>184323.74164930033</v>
      </c>
      <c r="D17" s="1">
        <f>UMC!I23</f>
        <v>20244.791100955521</v>
      </c>
    </row>
    <row r="18" spans="1:4" x14ac:dyDescent="0.25">
      <c r="A18">
        <v>34</v>
      </c>
      <c r="B18" s="1">
        <f>UC!I24</f>
        <v>265918.50539446855</v>
      </c>
      <c r="C18" s="1">
        <f>LUC!I24</f>
        <v>216998.93146443501</v>
      </c>
      <c r="D18" s="1">
        <f>UMC!I24</f>
        <v>54647.624612347405</v>
      </c>
    </row>
    <row r="19" spans="1:4" x14ac:dyDescent="0.25">
      <c r="A19">
        <v>35</v>
      </c>
      <c r="B19" s="1">
        <f>UC!I25</f>
        <v>298156.26767498092</v>
      </c>
      <c r="C19" s="1">
        <f>LUC!I25</f>
        <v>251362.26413285878</v>
      </c>
      <c r="D19" s="1">
        <f>UMC!I25</f>
        <v>90804.397677319255</v>
      </c>
    </row>
    <row r="20" spans="1:4" x14ac:dyDescent="0.25">
      <c r="A20">
        <v>36</v>
      </c>
      <c r="B20" s="1">
        <f>UC!I26</f>
        <v>332070.39359407994</v>
      </c>
      <c r="C20" s="1">
        <f>LUC!I26</f>
        <v>287501.01201994583</v>
      </c>
      <c r="D20" s="1">
        <f>UMC!I26</f>
        <v>128804.68378968922</v>
      </c>
    </row>
    <row r="21" spans="1:4" x14ac:dyDescent="0.25">
      <c r="A21">
        <v>37</v>
      </c>
      <c r="B21" s="1">
        <f>UC!I27</f>
        <v>367748.05406097218</v>
      </c>
      <c r="C21" s="1">
        <f>LUC!I27</f>
        <v>325506.96183853433</v>
      </c>
      <c r="D21" s="1">
        <f>UMC!I27</f>
        <v>168742.63824343975</v>
      </c>
    </row>
    <row r="22" spans="1:4" x14ac:dyDescent="0.25">
      <c r="A22">
        <v>38</v>
      </c>
      <c r="B22" s="1">
        <f>UC!I28</f>
        <v>405280.95287214272</v>
      </c>
      <c r="C22" s="1">
        <f>LUC!I28</f>
        <v>365476.64828519023</v>
      </c>
      <c r="D22" s="1">
        <f>UMC!I28</f>
        <v>210717.23284372338</v>
      </c>
    </row>
    <row r="23" spans="1:4" x14ac:dyDescent="0.25">
      <c r="A23">
        <v>39</v>
      </c>
      <c r="B23" s="1">
        <f>UC!I29</f>
        <v>444765.56242149416</v>
      </c>
      <c r="C23" s="1">
        <f>LUC!I29</f>
        <v>407511.59977384063</v>
      </c>
      <c r="D23" s="1">
        <f>UMC!I29</f>
        <v>254832.50265775606</v>
      </c>
    </row>
    <row r="24" spans="1:4" x14ac:dyDescent="0.25">
      <c r="A24">
        <v>40</v>
      </c>
      <c r="B24" s="1">
        <f>UC!I30</f>
        <v>486303.37166741188</v>
      </c>
      <c r="C24" s="1">
        <f>LUC!I30</f>
        <v>451718.59689342859</v>
      </c>
      <c r="D24" s="1">
        <f>UMC!I30</f>
        <v>301197.80542397802</v>
      </c>
    </row>
    <row r="25" spans="1:4" x14ac:dyDescent="0.25">
      <c r="A25">
        <v>41</v>
      </c>
      <c r="B25" s="1">
        <f>UC!I31</f>
        <v>530001.1469941173</v>
      </c>
      <c r="C25" s="1">
        <f>LUC!I31</f>
        <v>498209.94424871734</v>
      </c>
      <c r="D25" s="1">
        <f>UMC!I31</f>
        <v>349928.0942696617</v>
      </c>
    </row>
    <row r="26" spans="1:4" x14ac:dyDescent="0.25">
      <c r="A26">
        <v>42</v>
      </c>
      <c r="B26" s="1">
        <f>UC!I32</f>
        <v>575971.20663781138</v>
      </c>
      <c r="C26" s="1">
        <f>LUC!I32</f>
        <v>547103.75637752679</v>
      </c>
      <c r="D26" s="1">
        <f>UMC!I32</f>
        <v>401144.20442057896</v>
      </c>
    </row>
    <row r="27" spans="1:4" x14ac:dyDescent="0.25">
      <c r="A27">
        <v>43</v>
      </c>
      <c r="B27" s="1">
        <f>UC!I33</f>
        <v>624331.70938297757</v>
      </c>
      <c r="C27" s="1">
        <f>LUC!I33</f>
        <v>598524.25847361458</v>
      </c>
      <c r="D27" s="1">
        <f>UMC!I33</f>
        <v>454973.15462149488</v>
      </c>
    </row>
    <row r="28" spans="1:4" x14ac:dyDescent="0.25">
      <c r="A28">
        <v>44</v>
      </c>
      <c r="B28" s="1">
        <f>UC!I34</f>
        <v>675206.9582708925</v>
      </c>
      <c r="C28" s="1">
        <f>LUC!I34</f>
        <v>652602.1026822041</v>
      </c>
      <c r="D28" s="1">
        <f>UMC!I34</f>
        <v>511548.46402322169</v>
      </c>
    </row>
    <row r="29" spans="1:4" x14ac:dyDescent="0.25">
      <c r="A29">
        <v>45</v>
      </c>
      <c r="B29" s="1">
        <f>UC!I35</f>
        <v>728727.72010097886</v>
      </c>
      <c r="C29" s="1">
        <f>LUC!I35</f>
        <v>709474.70077490853</v>
      </c>
      <c r="D29" s="1">
        <f>UMC!I35</f>
        <v>571010.48533083266</v>
      </c>
    </row>
    <row r="30" spans="1:4" x14ac:dyDescent="0.25">
      <c r="A30">
        <v>46</v>
      </c>
      <c r="B30" s="1">
        <f>UC!I36</f>
        <v>785031.56154622987</v>
      </c>
      <c r="C30" s="1">
        <f>LUC!I36</f>
        <v>769286.57405261567</v>
      </c>
      <c r="D30" s="1">
        <f>UMC!I36</f>
        <v>633506.75504850538</v>
      </c>
    </row>
    <row r="31" spans="1:4" x14ac:dyDescent="0.25">
      <c r="A31">
        <v>47</v>
      </c>
      <c r="B31" s="1">
        <f>UC!I37</f>
        <v>844263.20274663391</v>
      </c>
      <c r="C31" s="1">
        <f>LUC!I37</f>
        <v>832189.72136886814</v>
      </c>
      <c r="D31" s="1">
        <f>UMC!I37</f>
        <v>699192.36169943959</v>
      </c>
    </row>
    <row r="32" spans="1:4" x14ac:dyDescent="0.25">
      <c r="A32">
        <v>48</v>
      </c>
      <c r="B32" s="1">
        <f>UC!I38</f>
        <v>906574.88928945886</v>
      </c>
      <c r="C32" s="1">
        <f>LUC!I38</f>
        <v>898344.0062125402</v>
      </c>
      <c r="D32" s="1">
        <f>UMC!I38</f>
        <v>768230.33294447488</v>
      </c>
    </row>
    <row r="33" spans="1:4" x14ac:dyDescent="0.25">
      <c r="A33">
        <v>49</v>
      </c>
      <c r="B33" s="1">
        <f>UC!I39</f>
        <v>972126.78353251074</v>
      </c>
      <c r="C33" s="1">
        <f>LUC!I39</f>
        <v>967917.56383725861</v>
      </c>
      <c r="D33" s="1">
        <f>UMC!I39</f>
        <v>840792.04257055314</v>
      </c>
    </row>
    <row r="34" spans="1:4" x14ac:dyDescent="0.25">
      <c r="A34">
        <v>50</v>
      </c>
      <c r="B34" s="1">
        <f>UC!I40</f>
        <v>1041087.3762762013</v>
      </c>
      <c r="C34" s="1">
        <f>LUC!I40</f>
        <v>1041087.2294762013</v>
      </c>
      <c r="D34" s="1">
        <f>UMC!I40</f>
        <v>917057.63837012416</v>
      </c>
    </row>
    <row r="35" spans="1:4" x14ac:dyDescent="0.25">
      <c r="A35">
        <v>51</v>
      </c>
      <c r="B35" s="1">
        <f>UC!I41</f>
        <v>1113633.9198425638</v>
      </c>
      <c r="C35" s="1">
        <f>LUC!I41</f>
        <v>1113633.9198425638</v>
      </c>
      <c r="D35" s="1">
        <f>UMC!I41</f>
        <v>983154.18966403732</v>
      </c>
    </row>
    <row r="36" spans="1:4" x14ac:dyDescent="0.25">
      <c r="A36">
        <v>52</v>
      </c>
      <c r="B36" s="1">
        <f>UC!I42</f>
        <v>1189952.8836743773</v>
      </c>
      <c r="C36" s="1">
        <f>LUC!I42</f>
        <v>1189952.8836743773</v>
      </c>
      <c r="D36" s="1">
        <f>UMC!I42</f>
        <v>1052688.2075265674</v>
      </c>
    </row>
    <row r="37" spans="1:4" x14ac:dyDescent="0.25">
      <c r="A37">
        <v>53</v>
      </c>
      <c r="B37" s="1">
        <f>UC!I43</f>
        <v>1270240.4336254448</v>
      </c>
      <c r="C37" s="1">
        <f>LUC!I43</f>
        <v>1270240.4336254448</v>
      </c>
      <c r="D37" s="1">
        <f>UMC!I43</f>
        <v>1125837.9943179488</v>
      </c>
    </row>
    <row r="38" spans="1:4" x14ac:dyDescent="0.25">
      <c r="A38">
        <v>54</v>
      </c>
      <c r="B38" s="1">
        <f>UC!I44</f>
        <v>1354702.936173968</v>
      </c>
      <c r="C38" s="1">
        <f>LUC!I44</f>
        <v>1354702.936173968</v>
      </c>
      <c r="D38" s="1">
        <f>UMC!I44</f>
        <v>1202791.5700224822</v>
      </c>
    </row>
    <row r="39" spans="1:4" x14ac:dyDescent="0.25">
      <c r="A39">
        <v>55</v>
      </c>
      <c r="B39" s="1">
        <f>UC!I45</f>
        <v>1443557.4888550146</v>
      </c>
      <c r="C39" s="1">
        <f>LUC!I45</f>
        <v>1443557.4888550146</v>
      </c>
      <c r="D39" s="1">
        <f>UMC!I45</f>
        <v>1283746.7316636513</v>
      </c>
    </row>
    <row r="40" spans="1:4" x14ac:dyDescent="0.25">
      <c r="A40">
        <v>56</v>
      </c>
      <c r="B40" s="1">
        <f>UC!I46</f>
        <v>1537032.4782754753</v>
      </c>
      <c r="C40" s="1">
        <f>LUC!I46</f>
        <v>1537032.4782754753</v>
      </c>
      <c r="D40" s="1">
        <f>UMC!I46</f>
        <v>1368911.5617101612</v>
      </c>
    </row>
    <row r="41" spans="1:4" x14ac:dyDescent="0.25">
      <c r="A41">
        <v>57</v>
      </c>
      <c r="B41" s="1">
        <f>UC!I47</f>
        <v>1635368.1671458001</v>
      </c>
      <c r="C41" s="1">
        <f>LUC!I47</f>
        <v>1635368.1671458001</v>
      </c>
      <c r="D41" s="1">
        <f>UMC!I47</f>
        <v>1458504.9629190897</v>
      </c>
    </row>
    <row r="42" spans="1:4" x14ac:dyDescent="0.25">
      <c r="A42">
        <v>58</v>
      </c>
      <c r="B42" s="1">
        <f>UC!I48</f>
        <v>1738817.3118373819</v>
      </c>
      <c r="C42" s="1">
        <f>LUC!I48</f>
        <v>1738817.3118373819</v>
      </c>
      <c r="D42" s="1">
        <f>UMC!I48</f>
        <v>1552757.2209908827</v>
      </c>
    </row>
    <row r="43" spans="1:4" x14ac:dyDescent="0.25">
      <c r="A43">
        <v>59</v>
      </c>
      <c r="B43" s="1">
        <f>UC!I49</f>
        <v>1847645.8120529258</v>
      </c>
      <c r="C43" s="1">
        <f>LUC!I49</f>
        <v>1847645.8120529258</v>
      </c>
      <c r="D43" s="1">
        <f>UMC!I49</f>
        <v>1651910.5964824085</v>
      </c>
    </row>
    <row r="44" spans="1:4" x14ac:dyDescent="0.25">
      <c r="A44">
        <v>60</v>
      </c>
      <c r="B44" s="1">
        <f>UC!I50</f>
        <v>7222133.3942796774</v>
      </c>
      <c r="C44" s="1">
        <f>LUC!I50</f>
        <v>3014133.3942796784</v>
      </c>
      <c r="D44" s="1">
        <f>UMC!I50</f>
        <v>1966619.9474994938</v>
      </c>
    </row>
    <row r="45" spans="1:4" x14ac:dyDescent="0.25">
      <c r="A45">
        <v>61</v>
      </c>
      <c r="B45" s="1">
        <f>UC!I51</f>
        <v>7300494.3307822207</v>
      </c>
      <c r="C45" s="1">
        <f>LUC!I51</f>
        <v>3189278.3307822216</v>
      </c>
      <c r="D45" s="1">
        <f>UMC!I51</f>
        <v>2087294.1847694675</v>
      </c>
    </row>
    <row r="46" spans="1:4" x14ac:dyDescent="0.25">
      <c r="A46">
        <v>62</v>
      </c>
      <c r="B46" s="1">
        <f>UC!I52</f>
        <v>7364520.0359828966</v>
      </c>
      <c r="C46" s="1">
        <f>LUC!I52</f>
        <v>3373530.8039828977</v>
      </c>
      <c r="D46" s="1">
        <f>UMC!I52</f>
        <v>2214243.4823774802</v>
      </c>
    </row>
    <row r="47" spans="1:4" x14ac:dyDescent="0.25">
      <c r="A47">
        <v>63</v>
      </c>
      <c r="B47" s="1">
        <f>UC!I53</f>
        <v>7431875.0778540075</v>
      </c>
      <c r="C47" s="1">
        <f>LUC!I53</f>
        <v>3567364.4057900081</v>
      </c>
      <c r="D47" s="1">
        <f>UMC!I53</f>
        <v>2347794.1434611091</v>
      </c>
    </row>
    <row r="48" spans="1:4" x14ac:dyDescent="0.25">
      <c r="A48">
        <v>64</v>
      </c>
      <c r="B48" s="1">
        <f>UC!I54</f>
        <v>7502732.5819024164</v>
      </c>
      <c r="C48" s="1">
        <f>LUC!I54</f>
        <v>3771277.3548910888</v>
      </c>
      <c r="D48" s="1">
        <f>UMC!I54</f>
        <v>2488289.4389210865</v>
      </c>
    </row>
    <row r="49" spans="1:4" x14ac:dyDescent="0.25">
      <c r="A49">
        <v>65</v>
      </c>
      <c r="B49" s="1">
        <f>UC!I55</f>
        <v>7577274.6761613414</v>
      </c>
      <c r="C49" s="1">
        <f>LUC!I55</f>
        <v>3985793.7773454254</v>
      </c>
      <c r="D49" s="1">
        <f>UMC!I55</f>
        <v>2636090.4897449836</v>
      </c>
    </row>
    <row r="50" spans="1:4" x14ac:dyDescent="0.25">
      <c r="A50">
        <v>66</v>
      </c>
      <c r="B50" s="1">
        <f>UC!I56</f>
        <v>7655692.9593217317</v>
      </c>
      <c r="C50" s="1">
        <f>LUC!I56</f>
        <v>3982655.0537673878</v>
      </c>
      <c r="D50" s="1">
        <f>UMC!I56</f>
        <v>2791577.1952117225</v>
      </c>
    </row>
    <row r="51" spans="1:4" x14ac:dyDescent="0.25">
      <c r="A51">
        <v>67</v>
      </c>
      <c r="B51" s="1">
        <f>UC!I57</f>
        <v>7738188.9932064619</v>
      </c>
      <c r="C51" s="1">
        <f>LUC!I57</f>
        <v>3979353.1165632922</v>
      </c>
      <c r="D51" s="1">
        <f>UMC!I57</f>
        <v>2736859.2093627322</v>
      </c>
    </row>
    <row r="52" spans="1:4" x14ac:dyDescent="0.25">
      <c r="A52">
        <v>68</v>
      </c>
      <c r="B52" s="1">
        <f>UC!I58</f>
        <v>7824974.8208531979</v>
      </c>
      <c r="C52" s="1">
        <f>LUC!I58</f>
        <v>3975879.4786245832</v>
      </c>
      <c r="D52" s="1">
        <f>UMC!I58</f>
        <v>2679295.8882495947</v>
      </c>
    </row>
    <row r="53" spans="1:4" x14ac:dyDescent="0.25">
      <c r="A53">
        <v>69</v>
      </c>
      <c r="B53" s="1">
        <f>UC!I59</f>
        <v>7916273.5115375649</v>
      </c>
      <c r="C53" s="1">
        <f>LUC!I59</f>
        <v>3972225.211513062</v>
      </c>
      <c r="D53" s="1">
        <f>UMC!I59</f>
        <v>2618739.2744385735</v>
      </c>
    </row>
    <row r="54" spans="1:4" x14ac:dyDescent="0.25">
      <c r="A54">
        <v>70</v>
      </c>
      <c r="B54" s="1">
        <f>UC!I60</f>
        <v>8012319.7341375193</v>
      </c>
      <c r="C54" s="1">
        <f>LUC!I60</f>
        <v>3968380.9225117415</v>
      </c>
      <c r="D54" s="1">
        <f>UMC!I60</f>
        <v>2555033.7167093796</v>
      </c>
    </row>
    <row r="55" spans="1:4" x14ac:dyDescent="0.25">
      <c r="A55">
        <v>71</v>
      </c>
      <c r="B55" s="1">
        <f>UC!I61</f>
        <v>8113360.3603126705</v>
      </c>
      <c r="C55" s="1">
        <f>LUC!I61</f>
        <v>3964336.7304823524</v>
      </c>
      <c r="D55" s="1">
        <f>UMC!I61</f>
        <v>2488015.4699782673</v>
      </c>
    </row>
    <row r="56" spans="1:4" x14ac:dyDescent="0.25">
      <c r="A56">
        <v>72</v>
      </c>
      <c r="B56" s="1">
        <f>UC!I62</f>
        <v>8219655.0990489293</v>
      </c>
      <c r="C56" s="1">
        <f>LUC!I62</f>
        <v>3960082.2404674347</v>
      </c>
      <c r="D56" s="1">
        <f>UMC!I62</f>
        <v>2417512.2744171373</v>
      </c>
    </row>
    <row r="57" spans="1:4" x14ac:dyDescent="0.25">
      <c r="A57">
        <v>73</v>
      </c>
      <c r="B57" s="1">
        <f>UC!I63</f>
        <v>8331477.1641994733</v>
      </c>
      <c r="C57" s="1">
        <f>LUC!I63</f>
        <v>3955606.5169717418</v>
      </c>
      <c r="D57" s="1">
        <f>UMC!I63</f>
        <v>2343342.9126868285</v>
      </c>
    </row>
    <row r="58" spans="1:4" x14ac:dyDescent="0.25">
      <c r="A58">
        <v>74</v>
      </c>
      <c r="B58" s="1">
        <f>UC!I64</f>
        <v>8449113.9767378457</v>
      </c>
      <c r="C58" s="1">
        <f>LUC!I64</f>
        <v>3950898.0558542721</v>
      </c>
      <c r="D58" s="1">
        <f>UMC!I64</f>
        <v>2265316.7441465436</v>
      </c>
    </row>
    <row r="59" spans="1:4" x14ac:dyDescent="0.25">
      <c r="A59">
        <v>75</v>
      </c>
      <c r="B59" s="1">
        <f>UC!I65</f>
        <v>8572867.9035282154</v>
      </c>
      <c r="C59" s="1">
        <f>LUC!I65</f>
        <v>3945944.7547586951</v>
      </c>
      <c r="D59" s="1">
        <f>UMC!I65</f>
        <v>2183233.214842164</v>
      </c>
    </row>
    <row r="60" spans="1:4" x14ac:dyDescent="0.25">
      <c r="A60">
        <v>76</v>
      </c>
      <c r="B60" s="1">
        <f>UC!I66</f>
        <v>8703057.0345116816</v>
      </c>
      <c r="C60" s="1">
        <f>LUC!I66</f>
        <v>3940733.8820061469</v>
      </c>
      <c r="D60" s="1">
        <f>UMC!I66</f>
        <v>2096881.3420139565</v>
      </c>
    </row>
    <row r="61" spans="1:4" x14ac:dyDescent="0.25">
      <c r="A61">
        <v>77</v>
      </c>
      <c r="B61" s="1">
        <f>UC!I67</f>
        <v>8840016.0003062896</v>
      </c>
      <c r="C61" s="1">
        <f>LUC!I67</f>
        <v>3935252.0438704668</v>
      </c>
      <c r="D61" s="1">
        <f>UMC!I67</f>
        <v>2006039.1717986823</v>
      </c>
    </row>
    <row r="62" spans="1:4" x14ac:dyDescent="0.25">
      <c r="A62">
        <v>78</v>
      </c>
      <c r="B62" s="1">
        <f>UC!I68</f>
        <v>8984096.8323222175</v>
      </c>
      <c r="C62" s="1">
        <f>LUC!I68</f>
        <v>3929485.150151731</v>
      </c>
      <c r="D62" s="1">
        <f>UMC!I68</f>
        <v>1910473.2087322136</v>
      </c>
    </row>
    <row r="63" spans="1:4" x14ac:dyDescent="0.25">
      <c r="A63">
        <v>79</v>
      </c>
      <c r="B63" s="1">
        <f>UC!I69</f>
        <v>9135669.8676029742</v>
      </c>
      <c r="C63" s="1">
        <f>LUC!I69</f>
        <v>3923418.3779596211</v>
      </c>
      <c r="D63" s="1">
        <f>UMC!I69</f>
        <v>1809937.8155862887</v>
      </c>
    </row>
    <row r="64" spans="1:4" x14ac:dyDescent="0.25">
      <c r="A64">
        <v>80</v>
      </c>
      <c r="B64" s="1">
        <f>UC!I70</f>
        <v>9295124.7007183284</v>
      </c>
      <c r="C64" s="1">
        <f>LUC!I70</f>
        <v>3917036.1336135212</v>
      </c>
      <c r="D64" s="1">
        <f>UMC!I70</f>
        <v>1704174.5819967757</v>
      </c>
    </row>
    <row r="65" spans="1:4" x14ac:dyDescent="0.25">
      <c r="A65">
        <v>81</v>
      </c>
      <c r="B65" s="1">
        <f>UC!I71</f>
        <v>9462871.1851556823</v>
      </c>
      <c r="C65" s="1">
        <f>LUC!I71</f>
        <v>3910322.0125614246</v>
      </c>
      <c r="D65" s="1">
        <f>UMC!I71</f>
        <v>1592911.6602606082</v>
      </c>
    </row>
    <row r="66" spans="1:4" x14ac:dyDescent="0.25">
      <c r="A66">
        <v>82</v>
      </c>
      <c r="B66" s="1">
        <f>UC!I72</f>
        <v>9639340.4867837783</v>
      </c>
      <c r="C66" s="1">
        <f>LUC!I72</f>
        <v>3903258.7572146188</v>
      </c>
      <c r="D66" s="1">
        <f>UMC!I72</f>
        <v>1475863.0665941597</v>
      </c>
    </row>
    <row r="67" spans="1:4" x14ac:dyDescent="0.25">
      <c r="A67">
        <v>83</v>
      </c>
      <c r="B67" s="1">
        <f>UC!I73</f>
        <v>9824986.1920965351</v>
      </c>
      <c r="C67" s="1">
        <f>LUC!I73</f>
        <v>3895828.2125897789</v>
      </c>
      <c r="D67" s="1">
        <f>UMC!I73</f>
        <v>1352727.9460570561</v>
      </c>
    </row>
    <row r="68" spans="1:4" x14ac:dyDescent="0.25">
      <c r="A68">
        <v>84</v>
      </c>
      <c r="B68" s="1">
        <f>UC!I74</f>
        <v>10020285.474085556</v>
      </c>
      <c r="C68" s="1">
        <f>LUC!I74</f>
        <v>3888011.2796444478</v>
      </c>
      <c r="D68" s="1">
        <f>UMC!I74</f>
        <v>1223189.799252023</v>
      </c>
    </row>
    <row r="69" spans="1:4" x14ac:dyDescent="0.25">
      <c r="A69">
        <v>85</v>
      </c>
      <c r="B69" s="1">
        <f>UC!I75</f>
        <v>10225740.318738006</v>
      </c>
      <c r="C69" s="1">
        <f>LUC!I75</f>
        <v>3879787.8661859594</v>
      </c>
      <c r="D69" s="1">
        <f>UMC!I75</f>
        <v>887035.66881312826</v>
      </c>
    </row>
    <row r="70" spans="1:4" x14ac:dyDescent="0.25">
      <c r="A70">
        <v>86</v>
      </c>
      <c r="B70" s="1">
        <f>UC!I76</f>
        <v>10441878.815312382</v>
      </c>
      <c r="C70" s="1">
        <f>LUC!I76</f>
        <v>3871136.8352276292</v>
      </c>
      <c r="D70" s="1">
        <f>UMC!I76</f>
        <v>733281.52359141095</v>
      </c>
    </row>
    <row r="71" spans="1:4" x14ac:dyDescent="0.25">
      <c r="A71">
        <v>87</v>
      </c>
      <c r="B71" s="1">
        <f>UC!I77</f>
        <v>10669256.513708627</v>
      </c>
      <c r="C71" s="1">
        <f>LUC!I77</f>
        <v>3862035.950659466</v>
      </c>
      <c r="D71" s="1">
        <f>UMC!I77</f>
        <v>571532.16281816445</v>
      </c>
    </row>
    <row r="72" spans="1:4" x14ac:dyDescent="0.25">
      <c r="A72">
        <v>88</v>
      </c>
      <c r="B72" s="1">
        <f>UC!I78</f>
        <v>10908457.852421476</v>
      </c>
      <c r="C72" s="1">
        <f>LUC!I78</f>
        <v>3852461.8200937584</v>
      </c>
      <c r="D72" s="1">
        <f>UMC!I78</f>
        <v>401371.83528470894</v>
      </c>
    </row>
    <row r="73" spans="1:4" x14ac:dyDescent="0.25">
      <c r="A73">
        <v>89</v>
      </c>
      <c r="B73" s="1">
        <f>UC!I79</f>
        <v>11160097.660747392</v>
      </c>
      <c r="C73" s="1">
        <f>LUC!I79</f>
        <v>3842389.8347386341</v>
      </c>
      <c r="D73" s="1">
        <f>UMC!I79</f>
        <v>222363.17071951384</v>
      </c>
    </row>
    <row r="74" spans="1:4" x14ac:dyDescent="0.25">
      <c r="A74">
        <v>90</v>
      </c>
      <c r="B74" s="1">
        <f>UC!I80</f>
        <v>11424822.739106257</v>
      </c>
      <c r="C74" s="1">
        <f>LUC!I80</f>
        <v>3831794.1061450429</v>
      </c>
      <c r="D74" s="1">
        <f>UMC!I80</f>
        <v>32363.17071951383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UMC</vt:lpstr>
      <vt:lpstr>LUC</vt:lpstr>
      <vt:lpstr>UC</vt:lpstr>
      <vt:lpstr>Composite</vt:lpstr>
      <vt:lpstr>UMC Wealth by Age</vt:lpstr>
      <vt:lpstr>LUC Wealth by Age</vt:lpstr>
      <vt:lpstr>UC Wealth by Age</vt:lpstr>
      <vt:lpstr>Wealth by Age by Class</vt:lpstr>
    </vt:vector>
  </TitlesOfParts>
  <Company>Stites &amp; Harbison PLLC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Ruml, Carter</dc:creator>
  <cp:lastModifiedBy>Ruml, Carter</cp:lastModifiedBy>
  <cp:lastPrinted>2015-05-09T15:29:35Z</cp:lastPrinted>
  <dcterms:created xsi:type="dcterms:W3CDTF">2015-05-09T13:07:58Z</dcterms:created>
  <dcterms:modified xsi:type="dcterms:W3CDTF">2015-05-09T15:38:12Z</dcterms:modified>
</cp:coreProperties>
</file>