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995" windowHeight="10035"/>
  </bookViews>
  <sheets>
    <sheet name="Sheet1" sheetId="1" r:id="rId1"/>
    <sheet name="Chart1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B50" i="1" l="1"/>
  <c r="I21" i="1"/>
  <c r="B21" i="1"/>
  <c r="B47" i="1"/>
  <c r="B46" i="1"/>
  <c r="B7" i="1"/>
  <c r="B11" i="1"/>
  <c r="B10" i="1"/>
  <c r="B13" i="1"/>
  <c r="L21" i="1"/>
  <c r="B12" i="1"/>
  <c r="C21" i="1" l="1"/>
  <c r="J21" i="1"/>
  <c r="D21" i="1"/>
  <c r="E21" i="1" s="1"/>
  <c r="D22" i="1" s="1"/>
  <c r="E22" i="1" s="1"/>
  <c r="K21" i="1"/>
  <c r="K22" i="1" s="1"/>
  <c r="C22" i="1"/>
  <c r="C23" i="1" l="1"/>
  <c r="C24" i="1" s="1"/>
  <c r="C25" i="1" s="1"/>
  <c r="C26" i="1" s="1"/>
  <c r="J22" i="1"/>
  <c r="J23" i="1" s="1"/>
  <c r="J24" i="1" s="1"/>
  <c r="D23" i="1"/>
  <c r="E23" i="1" s="1"/>
  <c r="D24" i="1" s="1"/>
  <c r="M21" i="1"/>
  <c r="F21" i="1"/>
  <c r="B22" i="1" s="1"/>
  <c r="I22" i="1" l="1"/>
  <c r="L22" i="1" s="1"/>
  <c r="K23" i="1" s="1"/>
  <c r="O21" i="1"/>
  <c r="J25" i="1"/>
  <c r="J26" i="1" s="1"/>
  <c r="J27" i="1" s="1"/>
  <c r="C27" i="1"/>
  <c r="E24" i="1"/>
  <c r="D25" i="1" s="1"/>
  <c r="J28" i="1" l="1"/>
  <c r="J29" i="1" s="1"/>
  <c r="C28" i="1"/>
  <c r="M22" i="1"/>
  <c r="E25" i="1"/>
  <c r="D26" i="1" s="1"/>
  <c r="I23" i="1" l="1"/>
  <c r="L23" i="1" s="1"/>
  <c r="K24" i="1" s="1"/>
  <c r="J30" i="1"/>
  <c r="J31" i="1" s="1"/>
  <c r="C29" i="1"/>
  <c r="E26" i="1"/>
  <c r="D27" i="1" s="1"/>
  <c r="J32" i="1" l="1"/>
  <c r="J33" i="1" s="1"/>
  <c r="J34" i="1" s="1"/>
  <c r="J35" i="1" s="1"/>
  <c r="J36" i="1" s="1"/>
  <c r="J37" i="1" s="1"/>
  <c r="J38" i="1" s="1"/>
  <c r="J39" i="1" s="1"/>
  <c r="C30" i="1"/>
  <c r="E27" i="1"/>
  <c r="D28" i="1" s="1"/>
  <c r="J40" i="1" l="1"/>
  <c r="C31" i="1"/>
  <c r="C32" i="1" s="1"/>
  <c r="C33" i="1" s="1"/>
  <c r="C34" i="1" s="1"/>
  <c r="C35" i="1" s="1"/>
  <c r="C36" i="1" s="1"/>
  <c r="C37" i="1" s="1"/>
  <c r="C38" i="1" s="1"/>
  <c r="C39" i="1" s="1"/>
  <c r="E28" i="1"/>
  <c r="D29" i="1" s="1"/>
  <c r="E29" i="1" l="1"/>
  <c r="D30" i="1" s="1"/>
  <c r="E30" i="1" l="1"/>
  <c r="D31" i="1" s="1"/>
  <c r="E31" i="1" l="1"/>
  <c r="D32" i="1" s="1"/>
  <c r="E32" i="1" l="1"/>
  <c r="D33" i="1" s="1"/>
  <c r="E33" i="1" l="1"/>
  <c r="D34" i="1" s="1"/>
  <c r="E34" i="1" l="1"/>
  <c r="D35" i="1" s="1"/>
  <c r="E35" i="1" l="1"/>
  <c r="D36" i="1" s="1"/>
  <c r="E36" i="1" l="1"/>
  <c r="D37" i="1" s="1"/>
  <c r="E37" i="1" l="1"/>
  <c r="D38" i="1" s="1"/>
  <c r="E38" i="1" l="1"/>
  <c r="D39" i="1" l="1"/>
  <c r="D40" i="1" s="1"/>
  <c r="C40" i="1" l="1"/>
  <c r="E39" i="1" s="1"/>
  <c r="F22" i="1" l="1"/>
  <c r="O22" i="1" s="1"/>
  <c r="B23" i="1" l="1"/>
  <c r="F23" i="1" s="1"/>
  <c r="B24" i="1" s="1"/>
  <c r="F24" i="1" s="1"/>
  <c r="B25" i="1" s="1"/>
  <c r="F25" i="1" s="1"/>
  <c r="B26" i="1" s="1"/>
  <c r="F26" i="1" s="1"/>
  <c r="B27" i="1" s="1"/>
  <c r="F27" i="1" s="1"/>
  <c r="B28" i="1" s="1"/>
  <c r="F28" i="1" s="1"/>
  <c r="B29" i="1" s="1"/>
  <c r="F29" i="1" s="1"/>
  <c r="B30" i="1" s="1"/>
  <c r="F30" i="1" s="1"/>
  <c r="B31" i="1" s="1"/>
  <c r="F31" i="1" s="1"/>
  <c r="B32" i="1" s="1"/>
  <c r="F32" i="1" s="1"/>
  <c r="B33" i="1" s="1"/>
  <c r="F33" i="1" s="1"/>
  <c r="B34" i="1" s="1"/>
  <c r="F34" i="1" s="1"/>
  <c r="B35" i="1" s="1"/>
  <c r="F35" i="1" s="1"/>
  <c r="B36" i="1" s="1"/>
  <c r="F36" i="1" s="1"/>
  <c r="B37" i="1" s="1"/>
  <c r="F37" i="1" s="1"/>
  <c r="B38" i="1" s="1"/>
  <c r="F38" i="1" s="1"/>
  <c r="B39" i="1" s="1"/>
  <c r="F39" i="1" s="1"/>
  <c r="E40" i="1"/>
  <c r="F40" i="1" s="1"/>
  <c r="M23" i="1" l="1"/>
  <c r="I24" i="1" l="1"/>
  <c r="L24" i="1" s="1"/>
  <c r="K25" i="1" s="1"/>
  <c r="O23" i="1"/>
  <c r="M24" i="1" l="1"/>
  <c r="I25" i="1" l="1"/>
  <c r="O24" i="1"/>
  <c r="L25" i="1" l="1"/>
  <c r="K26" i="1" s="1"/>
  <c r="M25" i="1" l="1"/>
  <c r="I26" i="1" l="1"/>
  <c r="O25" i="1"/>
  <c r="L26" i="1" l="1"/>
  <c r="K27" i="1" s="1"/>
  <c r="M26" i="1" l="1"/>
  <c r="I27" i="1" l="1"/>
  <c r="O26" i="1"/>
  <c r="L27" i="1" l="1"/>
  <c r="K28" i="1" s="1"/>
  <c r="M27" i="1" l="1"/>
  <c r="I28" i="1" l="1"/>
  <c r="O27" i="1"/>
  <c r="L28" i="1" l="1"/>
  <c r="K29" i="1" s="1"/>
  <c r="M28" i="1" l="1"/>
  <c r="I29" i="1" l="1"/>
  <c r="O28" i="1"/>
  <c r="L29" i="1" l="1"/>
  <c r="K30" i="1" s="1"/>
  <c r="M29" i="1" l="1"/>
  <c r="I30" i="1" l="1"/>
  <c r="O29" i="1"/>
  <c r="L30" i="1" l="1"/>
  <c r="K31" i="1" s="1"/>
  <c r="M30" i="1" l="1"/>
  <c r="I31" i="1" l="1"/>
  <c r="O30" i="1"/>
  <c r="L31" i="1" l="1"/>
  <c r="K32" i="1" s="1"/>
  <c r="M31" i="1" l="1"/>
  <c r="I32" i="1" l="1"/>
  <c r="O31" i="1"/>
  <c r="L32" i="1" l="1"/>
  <c r="K33" i="1" s="1"/>
  <c r="M32" i="1" l="1"/>
  <c r="I33" i="1" l="1"/>
  <c r="O32" i="1"/>
  <c r="L33" i="1" l="1"/>
  <c r="K34" i="1" s="1"/>
  <c r="M33" i="1" l="1"/>
  <c r="I34" i="1" l="1"/>
  <c r="O33" i="1"/>
  <c r="L34" i="1" l="1"/>
  <c r="K35" i="1" s="1"/>
  <c r="M34" i="1" l="1"/>
  <c r="I35" i="1" l="1"/>
  <c r="O34" i="1"/>
  <c r="L35" i="1" l="1"/>
  <c r="K36" i="1" s="1"/>
  <c r="M35" i="1" l="1"/>
  <c r="I36" i="1" l="1"/>
  <c r="O35" i="1"/>
  <c r="L36" i="1" l="1"/>
  <c r="K37" i="1" s="1"/>
  <c r="M36" i="1" l="1"/>
  <c r="I37" i="1" l="1"/>
  <c r="O36" i="1"/>
  <c r="L37" i="1" l="1"/>
  <c r="K38" i="1" s="1"/>
  <c r="M37" i="1" l="1"/>
  <c r="I38" i="1" l="1"/>
  <c r="O37" i="1"/>
  <c r="L38" i="1" l="1"/>
  <c r="K39" i="1" s="1"/>
  <c r="K40" i="1" s="1"/>
  <c r="M38" i="1" l="1"/>
  <c r="I39" i="1" l="1"/>
  <c r="O38" i="1"/>
  <c r="L39" i="1" l="1"/>
  <c r="L40" i="1" s="1"/>
  <c r="M40" i="1" s="1"/>
  <c r="B49" i="1" s="1"/>
  <c r="M39" i="1"/>
  <c r="O39" i="1" s="1"/>
</calcChain>
</file>

<file path=xl/sharedStrings.xml><?xml version="1.0" encoding="utf-8"?>
<sst xmlns="http://schemas.openxmlformats.org/spreadsheetml/2006/main" count="36" uniqueCount="31">
  <si>
    <t>Obamacare NII</t>
  </si>
  <si>
    <t>Contribution</t>
  </si>
  <si>
    <t>State income tax</t>
  </si>
  <si>
    <t>Federal long term capital gains</t>
  </si>
  <si>
    <t xml:space="preserve">Year </t>
  </si>
  <si>
    <t>Start of Year</t>
  </si>
  <si>
    <t>Taxable</t>
  </si>
  <si>
    <t>Less Taxes</t>
  </si>
  <si>
    <t>Net, End of Year</t>
  </si>
  <si>
    <t>529 Plan</t>
  </si>
  <si>
    <t>Federal ordinary income</t>
  </si>
  <si>
    <t>Growth - Stocks</t>
  </si>
  <si>
    <t>Bond Income</t>
  </si>
  <si>
    <t>Percentage to stocks</t>
  </si>
  <si>
    <t>Percentage to bonds</t>
  </si>
  <si>
    <t>Nominal growth rate assumption, stocks</t>
  </si>
  <si>
    <t>Nominal yield assumption, bonds</t>
  </si>
  <si>
    <t>Less Excess Fees</t>
  </si>
  <si>
    <t>Stocks ETF Cost</t>
  </si>
  <si>
    <t>Bonds ETF Cost</t>
  </si>
  <si>
    <t>529 Plan Cost</t>
  </si>
  <si>
    <t>Net Advantage, 529</t>
  </si>
  <si>
    <t>End of Year</t>
  </si>
  <si>
    <t>Amount, as % of potential</t>
  </si>
  <si>
    <t>Potential excess funding amount analysis</t>
  </si>
  <si>
    <t>Projected inflation rate</t>
  </si>
  <si>
    <t>Private college qualified educational expenses, now</t>
  </si>
  <si>
    <t>Projected college cost at 2x projected inflation rate, end of year 18</t>
  </si>
  <si>
    <t>Overfunding of 529</t>
  </si>
  <si>
    <t>Target initial funding amount to avoid overfunding 529</t>
  </si>
  <si>
    <t>529 Plan Funding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</si>
</sst>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.0%"/>
    <numFmt numFmtId="167" formatCode="_(&quot;$&quot;* #,##0_);_(&quot;$&quot;* \(#,##0\);_(&quot;$&quot;* &quot;-&quot;??_);_(@_)"/>
    <numFmt numFmtId="169" formatCode="_(&quot;$&quot;* #,##0.000_);_(&quot;$&quot;* \(#,##0.000\);_(&quot;$&quot;* &quot;-&quot;?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0" xfId="0" applyFill="1" applyBorder="1" applyAlignment="1">
      <alignment horizontal="right"/>
    </xf>
    <xf numFmtId="9" fontId="0" fillId="0" borderId="0" xfId="2" applyFont="1"/>
    <xf numFmtId="164" fontId="0" fillId="0" borderId="0" xfId="2" applyNumberFormat="1" applyFont="1"/>
    <xf numFmtId="164" fontId="0" fillId="0" borderId="1" xfId="2" applyNumberFormat="1" applyFont="1" applyBorder="1"/>
    <xf numFmtId="167" fontId="0" fillId="0" borderId="0" xfId="1" applyNumberFormat="1" applyFont="1"/>
    <xf numFmtId="44" fontId="0" fillId="0" borderId="0" xfId="0" applyNumberFormat="1"/>
    <xf numFmtId="167" fontId="0" fillId="0" borderId="0" xfId="0" applyNumberFormat="1"/>
    <xf numFmtId="167" fontId="0" fillId="0" borderId="1" xfId="1" applyNumberFormat="1" applyFont="1" applyBorder="1"/>
    <xf numFmtId="167" fontId="0" fillId="0" borderId="1" xfId="0" applyNumberFormat="1" applyBorder="1"/>
    <xf numFmtId="10" fontId="0" fillId="0" borderId="0" xfId="2" applyNumberFormat="1" applyFont="1"/>
    <xf numFmtId="169" fontId="0" fillId="0" borderId="0" xfId="0" applyNumberFormat="1"/>
    <xf numFmtId="0" fontId="0" fillId="0" borderId="2" xfId="0" applyBorder="1"/>
    <xf numFmtId="167" fontId="0" fillId="0" borderId="2" xfId="0" applyNumberFormat="1" applyBorder="1"/>
    <xf numFmtId="167" fontId="0" fillId="0" borderId="3" xfId="0" applyNumberFormat="1" applyBorder="1"/>
    <xf numFmtId="0" fontId="2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Sheet1!$O$19:$O$20</c:f>
              <c:strCache>
                <c:ptCount val="1"/>
                <c:pt idx="0">
                  <c:v>Net Advantage, 529 Amount, as % of potential</c:v>
                </c:pt>
              </c:strCache>
            </c:strRef>
          </c:tx>
          <c:marker>
            <c:symbol val="none"/>
          </c:marker>
          <c:xVal>
            <c:numRef>
              <c:f>Sheet1!$N$21:$N$39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xVal>
          <c:yVal>
            <c:numRef>
              <c:f>Sheet1!$O$21:$O$39</c:f>
              <c:numCache>
                <c:formatCode>0.0%</c:formatCode>
                <c:ptCount val="19"/>
                <c:pt idx="0">
                  <c:v>-8.2146401038091493E-4</c:v>
                </c:pt>
                <c:pt idx="1">
                  <c:v>-1.7849542409830188E-3</c:v>
                </c:pt>
                <c:pt idx="2">
                  <c:v>-2.8834684276623614E-3</c:v>
                </c:pt>
                <c:pt idx="3">
                  <c:v>-4.1097914099960534E-3</c:v>
                </c:pt>
                <c:pt idx="4">
                  <c:v>-5.456533201515873E-3</c:v>
                </c:pt>
                <c:pt idx="5">
                  <c:v>-6.9161677412757326E-3</c:v>
                </c:pt>
                <c:pt idx="6">
                  <c:v>-8.4810718920656728E-3</c:v>
                </c:pt>
                <c:pt idx="7">
                  <c:v>-1.0143564258970757E-2</c:v>
                </c:pt>
                <c:pt idx="8">
                  <c:v>-1.1895943417947837E-2</c:v>
                </c:pt>
                <c:pt idx="9">
                  <c:v>-1.3730525166955691E-2</c:v>
                </c:pt>
                <c:pt idx="10">
                  <c:v>-1.5639678441134362E-2</c:v>
                </c:pt>
                <c:pt idx="11">
                  <c:v>-1.761585956761761E-2</c:v>
                </c:pt>
                <c:pt idx="12">
                  <c:v>-1.9651644573764105E-2</c:v>
                </c:pt>
                <c:pt idx="13">
                  <c:v>-2.1739759303798182E-2</c:v>
                </c:pt>
                <c:pt idx="14">
                  <c:v>-2.3873107141990878E-2</c:v>
                </c:pt>
                <c:pt idx="15">
                  <c:v>-2.6044794184500626E-2</c:v>
                </c:pt>
                <c:pt idx="16">
                  <c:v>-2.8248151745827507E-2</c:v>
                </c:pt>
                <c:pt idx="17">
                  <c:v>-3.0476756128583304E-2</c:v>
                </c:pt>
                <c:pt idx="18">
                  <c:v>0.15296963968436572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929344"/>
        <c:axId val="103930880"/>
      </c:scatterChart>
      <c:valAx>
        <c:axId val="10392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930880"/>
        <c:crosses val="autoZero"/>
        <c:crossBetween val="midCat"/>
      </c:valAx>
      <c:valAx>
        <c:axId val="10393088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039293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pageSetup orientation="landscape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zoomScale="75" zoomScaleNormal="75" workbookViewId="0">
      <selection activeCell="N19" sqref="N19"/>
    </sheetView>
  </sheetViews>
  <sheetFormatPr defaultRowHeight="15" x14ac:dyDescent="0.25"/>
  <cols>
    <col min="1" max="1" width="60.7109375" bestFit="1" customWidth="1"/>
    <col min="2" max="3" width="12.5703125" bestFit="1" customWidth="1"/>
    <col min="4" max="4" width="14.85546875" bestFit="1" customWidth="1"/>
    <col min="5" max="5" width="12.5703125" bestFit="1" customWidth="1"/>
    <col min="6" max="6" width="13.42578125" bestFit="1" customWidth="1"/>
    <col min="7" max="7" width="15.28515625" bestFit="1" customWidth="1"/>
    <col min="9" max="9" width="12.140625" bestFit="1" customWidth="1"/>
    <col min="10" max="10" width="13.85546875" bestFit="1" customWidth="1"/>
    <col min="11" max="11" width="14.85546875" bestFit="1" customWidth="1"/>
    <col min="12" max="12" width="15.42578125" bestFit="1" customWidth="1"/>
    <col min="13" max="13" width="16.28515625" bestFit="1" customWidth="1"/>
    <col min="14" max="14" width="15.28515625" bestFit="1" customWidth="1"/>
    <col min="15" max="15" width="24.7109375" bestFit="1" customWidth="1"/>
    <col min="18" max="18" width="12.7109375" bestFit="1" customWidth="1"/>
  </cols>
  <sheetData>
    <row r="1" spans="1:2" x14ac:dyDescent="0.25">
      <c r="A1" s="16" t="s">
        <v>30</v>
      </c>
    </row>
    <row r="3" spans="1:2" x14ac:dyDescent="0.25">
      <c r="A3" t="s">
        <v>1</v>
      </c>
      <c r="B3" s="6">
        <v>350000</v>
      </c>
    </row>
    <row r="4" spans="1:2" x14ac:dyDescent="0.25">
      <c r="A4" t="s">
        <v>18</v>
      </c>
      <c r="B4" s="11">
        <v>1.6999999999999999E-3</v>
      </c>
    </row>
    <row r="5" spans="1:2" x14ac:dyDescent="0.25">
      <c r="A5" t="s">
        <v>19</v>
      </c>
      <c r="B5" s="11">
        <v>1E-3</v>
      </c>
    </row>
    <row r="6" spans="1:2" x14ac:dyDescent="0.25">
      <c r="A6" t="s">
        <v>20</v>
      </c>
      <c r="B6" s="11">
        <v>7.3000000000000001E-3</v>
      </c>
    </row>
    <row r="7" spans="1:2" x14ac:dyDescent="0.25">
      <c r="A7" t="s">
        <v>25</v>
      </c>
      <c r="B7" s="11">
        <f>0.016</f>
        <v>1.6E-2</v>
      </c>
    </row>
    <row r="8" spans="1:2" x14ac:dyDescent="0.25">
      <c r="A8" t="s">
        <v>13</v>
      </c>
      <c r="B8" s="3">
        <v>0.6</v>
      </c>
    </row>
    <row r="9" spans="1:2" x14ac:dyDescent="0.25">
      <c r="A9" t="s">
        <v>14</v>
      </c>
      <c r="B9" s="3">
        <v>0.4</v>
      </c>
    </row>
    <row r="10" spans="1:2" x14ac:dyDescent="0.25">
      <c r="A10" t="s">
        <v>15</v>
      </c>
      <c r="B10" s="4">
        <f>0.073</f>
        <v>7.2999999999999995E-2</v>
      </c>
    </row>
    <row r="11" spans="1:2" x14ac:dyDescent="0.25">
      <c r="A11" t="s">
        <v>16</v>
      </c>
      <c r="B11" s="4">
        <f>0.0254</f>
        <v>2.5399999999999999E-2</v>
      </c>
    </row>
    <row r="12" spans="1:2" x14ac:dyDescent="0.25">
      <c r="A12" t="s">
        <v>3</v>
      </c>
      <c r="B12" s="4">
        <f>0.2</f>
        <v>0.2</v>
      </c>
    </row>
    <row r="13" spans="1:2" x14ac:dyDescent="0.25">
      <c r="A13" t="s">
        <v>10</v>
      </c>
      <c r="B13" s="4">
        <f>0.396</f>
        <v>0.39600000000000002</v>
      </c>
    </row>
    <row r="14" spans="1:2" x14ac:dyDescent="0.25">
      <c r="A14" t="s">
        <v>0</v>
      </c>
      <c r="B14" s="4">
        <v>3.7999999999999999E-2</v>
      </c>
    </row>
    <row r="15" spans="1:2" x14ac:dyDescent="0.25">
      <c r="A15" s="1" t="s">
        <v>2</v>
      </c>
      <c r="B15" s="5">
        <v>0.06</v>
      </c>
    </row>
    <row r="16" spans="1:2" x14ac:dyDescent="0.25">
      <c r="A16" s="2"/>
      <c r="B16" s="4"/>
    </row>
    <row r="19" spans="1:18" x14ac:dyDescent="0.25">
      <c r="A19" t="s">
        <v>6</v>
      </c>
      <c r="H19" t="s">
        <v>9</v>
      </c>
      <c r="M19" s="13"/>
      <c r="N19" t="s">
        <v>21</v>
      </c>
    </row>
    <row r="20" spans="1:18" x14ac:dyDescent="0.25">
      <c r="A20" t="s">
        <v>4</v>
      </c>
      <c r="B20" t="s">
        <v>5</v>
      </c>
      <c r="C20" t="s">
        <v>11</v>
      </c>
      <c r="D20" t="s">
        <v>12</v>
      </c>
      <c r="E20" t="s">
        <v>7</v>
      </c>
      <c r="F20" t="s">
        <v>8</v>
      </c>
      <c r="H20" t="s">
        <v>4</v>
      </c>
      <c r="I20" t="s">
        <v>5</v>
      </c>
      <c r="J20" t="s">
        <v>11</v>
      </c>
      <c r="K20" t="s">
        <v>12</v>
      </c>
      <c r="L20" t="s">
        <v>17</v>
      </c>
      <c r="M20" s="13" t="s">
        <v>8</v>
      </c>
      <c r="N20" t="s">
        <v>22</v>
      </c>
      <c r="O20" t="s">
        <v>23</v>
      </c>
    </row>
    <row r="21" spans="1:18" x14ac:dyDescent="0.25">
      <c r="A21">
        <v>0</v>
      </c>
      <c r="B21" s="6">
        <f>$B$3</f>
        <v>350000</v>
      </c>
      <c r="C21" s="6">
        <f>$B$3*$B$8*$B$10</f>
        <v>15329.999999999998</v>
      </c>
      <c r="D21" s="6">
        <f>$B$3*$B$11*$B$9</f>
        <v>3556</v>
      </c>
      <c r="E21" s="7">
        <f>($B$13+$B$14+$B$15)*(D21)*-1</f>
        <v>-1756.664</v>
      </c>
      <c r="F21" s="8">
        <f>SUM(B21:E21)</f>
        <v>367129.33600000001</v>
      </c>
      <c r="H21">
        <v>0</v>
      </c>
      <c r="I21" s="6">
        <f>$B$3</f>
        <v>350000</v>
      </c>
      <c r="J21" s="6">
        <f>$B$3*$B$8*$B$10</f>
        <v>15329.999999999998</v>
      </c>
      <c r="K21" s="6">
        <f>$B$3*$B$11*$B$9</f>
        <v>3556</v>
      </c>
      <c r="L21" s="6">
        <f>($B$6-(($B$8*$B$4)+($B$5*$B$9)))*I21*-1</f>
        <v>-2058</v>
      </c>
      <c r="M21" s="14">
        <f>SUM(I21:L21)</f>
        <v>366828</v>
      </c>
      <c r="N21">
        <v>0</v>
      </c>
      <c r="O21" s="4">
        <f>(M21-F21)/M21</f>
        <v>-8.2146401038091493E-4</v>
      </c>
      <c r="R21" s="12"/>
    </row>
    <row r="22" spans="1:18" x14ac:dyDescent="0.25">
      <c r="A22">
        <v>1</v>
      </c>
      <c r="B22" s="6">
        <f>F21</f>
        <v>367129.33600000001</v>
      </c>
      <c r="C22" s="6">
        <f>(($B$3*$B$8)+(SUM($C$21:C21)))*$B$10</f>
        <v>16449.09</v>
      </c>
      <c r="D22" s="6">
        <f>(($B$3*$B$9)+(SUM($D$21:D21))+(SUM($E$21:E21)))*$B$11</f>
        <v>3601.7031344000002</v>
      </c>
      <c r="E22" s="8">
        <f>-1*D22*($B$13+$B$14+$B$15)</f>
        <v>-1779.2413483936</v>
      </c>
      <c r="F22" s="8">
        <f t="shared" ref="F22:F39" si="0">SUM(B22:E22)</f>
        <v>385400.88778600644</v>
      </c>
      <c r="H22">
        <v>1</v>
      </c>
      <c r="I22" s="6">
        <f>M21</f>
        <v>366828</v>
      </c>
      <c r="J22" s="6">
        <f>(($B$3*$B$8)+(SUM($J$21:J21)))*$B$10</f>
        <v>16449.09</v>
      </c>
      <c r="K22" s="6">
        <f>(($B$3*$B$9)+(SUM($K$21:K21))+(SUM($L$21:L21)))*$B$11</f>
        <v>3594.0491999999999</v>
      </c>
      <c r="L22" s="6">
        <f>($B$6-(($B$8*$B$4)+($B$5*$B$9)))*I22*-1</f>
        <v>-2156.9486400000001</v>
      </c>
      <c r="M22" s="14">
        <f t="shared" ref="M22:M39" si="1">SUM(I22:L22)</f>
        <v>384714.19056000002</v>
      </c>
      <c r="N22">
        <v>1</v>
      </c>
      <c r="O22" s="4">
        <f t="shared" ref="O22:O39" si="2">(M22-F22)/M22</f>
        <v>-1.7849542409830188E-3</v>
      </c>
    </row>
    <row r="23" spans="1:18" x14ac:dyDescent="0.25">
      <c r="A23">
        <v>2</v>
      </c>
      <c r="B23" s="6">
        <f t="shared" ref="B23:B39" si="3">F22</f>
        <v>385400.88778600644</v>
      </c>
      <c r="C23" s="6">
        <f>(($B$3*$B$8)+(SUM($C$21:C22)))*$B$10</f>
        <v>17649.87357</v>
      </c>
      <c r="D23" s="6">
        <f>(($B$3*$B$9)+(SUM($D$21:D22))+(SUM($E$21:E22)))*$B$11</f>
        <v>3647.9936637645628</v>
      </c>
      <c r="E23" s="8">
        <f>-1*D23*($B$13+$B$14+$B$15)</f>
        <v>-1802.1088698996941</v>
      </c>
      <c r="F23" s="8">
        <f t="shared" si="0"/>
        <v>404896.64614987129</v>
      </c>
      <c r="H23">
        <v>2</v>
      </c>
      <c r="I23" s="6">
        <f t="shared" ref="I23:I39" si="4">M22</f>
        <v>384714.19056000002</v>
      </c>
      <c r="J23" s="6">
        <f>(($B$3*$B$8)+(SUM($J$21:J22)))*$B$10</f>
        <v>17649.87357</v>
      </c>
      <c r="K23" s="6">
        <f>(($B$3*$B$9)+(SUM($K$21:K22))+(SUM($L$21:L22)))*$B$11</f>
        <v>3630.5515542240005</v>
      </c>
      <c r="L23" s="6">
        <f>($B$6-(($B$8*$B$4)+($B$5*$B$9)))*I23*-1</f>
        <v>-2262.1194404928001</v>
      </c>
      <c r="M23" s="14">
        <f t="shared" si="1"/>
        <v>403732.49624373118</v>
      </c>
      <c r="N23">
        <v>2</v>
      </c>
      <c r="O23" s="4">
        <f t="shared" si="2"/>
        <v>-2.8834684276623614E-3</v>
      </c>
    </row>
    <row r="24" spans="1:18" x14ac:dyDescent="0.25">
      <c r="A24">
        <v>3</v>
      </c>
      <c r="B24" s="6">
        <f t="shared" si="3"/>
        <v>404896.64614987129</v>
      </c>
      <c r="C24" s="6">
        <f>(($B$3*$B$8)+(SUM($C$21:C23)))*$B$10</f>
        <v>18938.314340609999</v>
      </c>
      <c r="D24" s="6">
        <f>(($B$3*$B$9)+(SUM($D$21:D23))+(SUM($E$21:E23)))*$B$11</f>
        <v>3694.8791375287301</v>
      </c>
      <c r="E24" s="8">
        <f>-1*D24*($B$13+$B$14+$B$15)</f>
        <v>-1825.2702939391927</v>
      </c>
      <c r="F24" s="8">
        <f t="shared" si="0"/>
        <v>425704.56933407078</v>
      </c>
      <c r="H24">
        <v>3</v>
      </c>
      <c r="I24" s="6">
        <f t="shared" si="4"/>
        <v>403732.49624373118</v>
      </c>
      <c r="J24" s="6">
        <f>(($B$3*$B$8)+(SUM($J$21:J23)))*$B$10</f>
        <v>18938.314340609999</v>
      </c>
      <c r="K24" s="6">
        <f>(($B$3*$B$9)+(SUM($K$21:K23))+(SUM($L$21:L23)))*$B$11</f>
        <v>3665.3097299127721</v>
      </c>
      <c r="L24" s="6">
        <f>($B$6-(($B$8*$B$4)+($B$5*$B$9)))*I24*-1</f>
        <v>-2373.9470779131393</v>
      </c>
      <c r="M24" s="14">
        <f t="shared" si="1"/>
        <v>423962.17323634081</v>
      </c>
      <c r="N24">
        <v>3</v>
      </c>
      <c r="O24" s="4">
        <f t="shared" si="2"/>
        <v>-4.1097914099960534E-3</v>
      </c>
    </row>
    <row r="25" spans="1:18" x14ac:dyDescent="0.25">
      <c r="A25">
        <v>4</v>
      </c>
      <c r="B25" s="6">
        <f t="shared" si="3"/>
        <v>425704.56933407078</v>
      </c>
      <c r="C25" s="6">
        <f>(($B$3*$B$8)+(SUM($C$21:C24)))*$B$10</f>
        <v>20320.811287474527</v>
      </c>
      <c r="D25" s="6">
        <f>(($B$3*$B$9)+(SUM($D$21:D24))+(SUM($E$21:E24)))*$B$11</f>
        <v>3742.3672021559037</v>
      </c>
      <c r="E25" s="8">
        <f>-1*D25*($B$13+$B$14+$B$15)</f>
        <v>-1848.7293978650164</v>
      </c>
      <c r="F25" s="8">
        <f t="shared" si="0"/>
        <v>447919.01842583623</v>
      </c>
      <c r="H25">
        <v>4</v>
      </c>
      <c r="I25" s="6">
        <f t="shared" si="4"/>
        <v>423962.17323634081</v>
      </c>
      <c r="J25" s="6">
        <f>(($B$3*$B$8)+(SUM($J$21:J24)))*$B$10</f>
        <v>20320.811287474527</v>
      </c>
      <c r="K25" s="6">
        <f>(($B$3*$B$9)+(SUM($K$21:K24))+(SUM($L$21:L24)))*$B$11</f>
        <v>3698.1103412735633</v>
      </c>
      <c r="L25" s="6">
        <f>($B$6-(($B$8*$B$4)+($B$5*$B$9)))*I25*-1</f>
        <v>-2492.8975786296837</v>
      </c>
      <c r="M25" s="14">
        <f t="shared" si="1"/>
        <v>445488.19728645921</v>
      </c>
      <c r="N25">
        <v>4</v>
      </c>
      <c r="O25" s="4">
        <f t="shared" si="2"/>
        <v>-5.456533201515873E-3</v>
      </c>
    </row>
    <row r="26" spans="1:18" x14ac:dyDescent="0.25">
      <c r="A26">
        <v>5</v>
      </c>
      <c r="B26" s="6">
        <f t="shared" si="3"/>
        <v>447919.01842583623</v>
      </c>
      <c r="C26" s="6">
        <f>(($B$3*$B$8)+(SUM($C$21:C25)))*$B$10</f>
        <v>21804.23051146017</v>
      </c>
      <c r="D26" s="6">
        <f>(($B$3*$B$9)+(SUM($D$21:D25))+(SUM($E$21:E25)))*$B$11</f>
        <v>3790.4656023848925</v>
      </c>
      <c r="E26" s="8">
        <f>-1*D26*($B$13+$B$14+$B$15)</f>
        <v>-1872.4900075781368</v>
      </c>
      <c r="F26" s="8">
        <f t="shared" si="0"/>
        <v>471641.22453210311</v>
      </c>
      <c r="H26">
        <v>5</v>
      </c>
      <c r="I26" s="6">
        <f t="shared" si="4"/>
        <v>445488.19728645921</v>
      </c>
      <c r="J26" s="6">
        <f>(($B$3*$B$8)+(SUM($J$21:J25)))*$B$10</f>
        <v>21804.23051146017</v>
      </c>
      <c r="K26" s="6">
        <f>(($B$3*$B$9)+(SUM($K$21:K25))+(SUM($L$21:L25)))*$B$11</f>
        <v>3728.7227454447179</v>
      </c>
      <c r="L26" s="6">
        <f>($B$6-(($B$8*$B$4)+($B$5*$B$9)))*I26*-1</f>
        <v>-2619.4706000443803</v>
      </c>
      <c r="M26" s="14">
        <f t="shared" si="1"/>
        <v>468401.67994331976</v>
      </c>
      <c r="N26">
        <v>5</v>
      </c>
      <c r="O26" s="4">
        <f t="shared" si="2"/>
        <v>-6.9161677412757326E-3</v>
      </c>
    </row>
    <row r="27" spans="1:18" x14ac:dyDescent="0.25">
      <c r="A27">
        <v>6</v>
      </c>
      <c r="B27" s="6">
        <f t="shared" si="3"/>
        <v>471641.22453210311</v>
      </c>
      <c r="C27" s="6">
        <f>(($B$3*$B$8)+(SUM($C$21:C26)))*$B$10</f>
        <v>23395.939338796758</v>
      </c>
      <c r="D27" s="6">
        <f>(($B$3*$B$9)+(SUM($D$21:D26))+(SUM($E$21:E26)))*$B$11</f>
        <v>3839.1821824929848</v>
      </c>
      <c r="E27" s="8">
        <f>-1*D27*($B$13+$B$14+$B$15)</f>
        <v>-1896.5559981515344</v>
      </c>
      <c r="F27" s="8">
        <f t="shared" si="0"/>
        <v>496979.79005524132</v>
      </c>
      <c r="H27">
        <v>6</v>
      </c>
      <c r="I27" s="6">
        <f t="shared" si="4"/>
        <v>468401.67994331976</v>
      </c>
      <c r="J27" s="6">
        <f>(($B$3*$B$8)+(SUM($J$21:J26)))*$B$10</f>
        <v>23395.939338796758</v>
      </c>
      <c r="K27" s="6">
        <f>(($B$3*$B$9)+(SUM($K$21:K26))+(SUM($L$21:L26)))*$B$11</f>
        <v>3756.8977499378861</v>
      </c>
      <c r="L27" s="6">
        <f>($B$6-(($B$8*$B$4)+($B$5*$B$9)))*I27*-1</f>
        <v>-2754.2018780667199</v>
      </c>
      <c r="M27" s="14">
        <f t="shared" si="1"/>
        <v>492800.31515398773</v>
      </c>
      <c r="N27">
        <v>6</v>
      </c>
      <c r="O27" s="4">
        <f t="shared" si="2"/>
        <v>-8.4810718920656728E-3</v>
      </c>
    </row>
    <row r="28" spans="1:18" x14ac:dyDescent="0.25">
      <c r="A28">
        <v>7</v>
      </c>
      <c r="B28" s="6">
        <f t="shared" si="3"/>
        <v>496979.79005524132</v>
      </c>
      <c r="C28" s="6">
        <f>(($B$3*$B$8)+(SUM($C$21:C27)))*$B$10</f>
        <v>25103.842910528921</v>
      </c>
      <c r="D28" s="6">
        <f>(($B$3*$B$9)+(SUM($D$21:D27))+(SUM($E$21:E27)))*$B$11</f>
        <v>3888.5248875752573</v>
      </c>
      <c r="E28" s="8">
        <f>-1*D28*($B$13+$B$14+$B$15)</f>
        <v>-1920.931294462177</v>
      </c>
      <c r="F28" s="8">
        <f t="shared" si="0"/>
        <v>524051.22655888333</v>
      </c>
      <c r="H28">
        <v>7</v>
      </c>
      <c r="I28" s="6">
        <f t="shared" si="4"/>
        <v>492800.31515398773</v>
      </c>
      <c r="J28" s="6">
        <f>(($B$3*$B$8)+(SUM($J$21:J27)))*$B$10</f>
        <v>25103.842910528921</v>
      </c>
      <c r="K28" s="6">
        <f>(($B$3*$B$9)+(SUM($K$21:K27))+(SUM($L$21:L27)))*$B$11</f>
        <v>3782.3662250834136</v>
      </c>
      <c r="L28" s="6">
        <f>($B$6-(($B$8*$B$4)+($B$5*$B$9)))*I28*-1</f>
        <v>-2897.6658531054477</v>
      </c>
      <c r="M28" s="14">
        <f t="shared" si="1"/>
        <v>518788.85843649466</v>
      </c>
      <c r="N28">
        <v>7</v>
      </c>
      <c r="O28" s="4">
        <f t="shared" si="2"/>
        <v>-1.0143564258970757E-2</v>
      </c>
    </row>
    <row r="29" spans="1:18" x14ac:dyDescent="0.25">
      <c r="A29">
        <v>8</v>
      </c>
      <c r="B29" s="6">
        <f t="shared" si="3"/>
        <v>524051.22655888333</v>
      </c>
      <c r="C29" s="6">
        <f>(($B$3*$B$8)+(SUM($C$21:C28)))*$B$10</f>
        <v>26936.423442997529</v>
      </c>
      <c r="D29" s="6">
        <f>(($B$3*$B$9)+(SUM($D$21:D28))+(SUM($E$21:E28)))*$B$11</f>
        <v>3938.5017648403291</v>
      </c>
      <c r="E29" s="8">
        <f>-1*D29*($B$13+$B$14+$B$15)</f>
        <v>-1945.6198718311225</v>
      </c>
      <c r="F29" s="8">
        <f t="shared" si="0"/>
        <v>552980.53189489001</v>
      </c>
      <c r="H29">
        <v>8</v>
      </c>
      <c r="I29" s="6">
        <f t="shared" si="4"/>
        <v>518788.85843649466</v>
      </c>
      <c r="J29" s="6">
        <f>(($B$3*$B$8)+(SUM($J$21:J28)))*$B$10</f>
        <v>26936.423442997529</v>
      </c>
      <c r="K29" s="6">
        <f>(($B$3*$B$9)+(SUM($K$21:K28))+(SUM($L$21:L28)))*$B$11</f>
        <v>3804.8376145316538</v>
      </c>
      <c r="L29" s="6">
        <f>($B$6-(($B$8*$B$4)+($B$5*$B$9)))*I29*-1</f>
        <v>-3050.4784876065887</v>
      </c>
      <c r="M29" s="14">
        <f t="shared" si="1"/>
        <v>546479.64100641722</v>
      </c>
      <c r="N29">
        <v>8</v>
      </c>
      <c r="O29" s="4">
        <f t="shared" si="2"/>
        <v>-1.1895943417947837E-2</v>
      </c>
    </row>
    <row r="30" spans="1:18" x14ac:dyDescent="0.25">
      <c r="A30">
        <v>9</v>
      </c>
      <c r="B30" s="6">
        <f t="shared" si="3"/>
        <v>552980.53189489001</v>
      </c>
      <c r="C30" s="6">
        <f>(($B$3*$B$8)+(SUM($C$21:C29)))*$B$10</f>
        <v>28902.782354336352</v>
      </c>
      <c r="D30" s="6">
        <f>(($B$3*$B$9)+(SUM($D$21:D29))+(SUM($E$21:E29)))*$B$11</f>
        <v>3989.1209649227631</v>
      </c>
      <c r="E30" s="8">
        <f>-1*D30*($B$13+$B$14+$B$15)</f>
        <v>-1970.625756671845</v>
      </c>
      <c r="F30" s="8">
        <f t="shared" si="0"/>
        <v>583901.80945747718</v>
      </c>
      <c r="H30">
        <v>9</v>
      </c>
      <c r="I30" s="6">
        <f t="shared" si="4"/>
        <v>546479.64100641722</v>
      </c>
      <c r="J30" s="6">
        <f>(($B$3*$B$8)+(SUM($J$21:J29)))*$B$10</f>
        <v>28902.782354336352</v>
      </c>
      <c r="K30" s="6">
        <f>(($B$3*$B$9)+(SUM($K$21:K29))+(SUM($L$21:L29)))*$B$11</f>
        <v>3823.9983363555507</v>
      </c>
      <c r="L30" s="6">
        <f>($B$6-(($B$8*$B$4)+($B$5*$B$9)))*I30*-1</f>
        <v>-3213.300289117733</v>
      </c>
      <c r="M30" s="14">
        <f t="shared" si="1"/>
        <v>575993.12140799139</v>
      </c>
      <c r="N30">
        <v>9</v>
      </c>
      <c r="O30" s="4">
        <f t="shared" si="2"/>
        <v>-1.3730525166955691E-2</v>
      </c>
    </row>
    <row r="31" spans="1:18" x14ac:dyDescent="0.25">
      <c r="A31">
        <v>10</v>
      </c>
      <c r="B31" s="6">
        <f t="shared" si="3"/>
        <v>583901.80945747718</v>
      </c>
      <c r="C31" s="6">
        <f>(($B$3*$B$8)+(SUM($C$21:C30)))*$B$10</f>
        <v>31012.685466202907</v>
      </c>
      <c r="D31" s="6">
        <f>(($B$3*$B$9)+(SUM($D$21:D30))+(SUM($E$21:E30)))*$B$11</f>
        <v>4040.3907432123369</v>
      </c>
      <c r="E31" s="8">
        <f>-1*D31*($B$13+$B$14+$B$15)</f>
        <v>-1995.9530271468943</v>
      </c>
      <c r="F31" s="8">
        <f t="shared" si="0"/>
        <v>616958.93263974553</v>
      </c>
      <c r="H31">
        <v>10</v>
      </c>
      <c r="I31" s="6">
        <f t="shared" si="4"/>
        <v>575993.12140799139</v>
      </c>
      <c r="J31" s="6">
        <f>(($B$3*$B$8)+(SUM($J$21:J30)))*$B$10</f>
        <v>31012.685466202907</v>
      </c>
      <c r="K31" s="6">
        <f>(($B$3*$B$9)+(SUM($K$21:K30))+(SUM($L$21:L30)))*$B$11</f>
        <v>3839.5100667553911</v>
      </c>
      <c r="L31" s="6">
        <f>($B$6-(($B$8*$B$4)+($B$5*$B$9)))*I31*-1</f>
        <v>-3386.8395538789891</v>
      </c>
      <c r="M31" s="14">
        <f t="shared" si="1"/>
        <v>607458.47738707066</v>
      </c>
      <c r="N31">
        <v>10</v>
      </c>
      <c r="O31" s="4">
        <f t="shared" si="2"/>
        <v>-1.5639678441134362E-2</v>
      </c>
    </row>
    <row r="32" spans="1:18" x14ac:dyDescent="0.25">
      <c r="A32">
        <v>11</v>
      </c>
      <c r="B32" s="6">
        <f t="shared" si="3"/>
        <v>616958.93263974553</v>
      </c>
      <c r="C32" s="6">
        <f>(($B$3*$B$8)+(SUM($C$21:C31)))*$B$10</f>
        <v>33276.61150523572</v>
      </c>
      <c r="D32" s="6">
        <f>(($B$3*$B$9)+(SUM($D$21:D31))+(SUM($E$21:E31)))*$B$11</f>
        <v>4092.319461200399</v>
      </c>
      <c r="E32" s="8">
        <f>-1*D32*($B$13+$B$14+$B$15)</f>
        <v>-2021.605813832997</v>
      </c>
      <c r="F32" s="8">
        <f t="shared" si="0"/>
        <v>652306.25779234874</v>
      </c>
      <c r="H32">
        <v>11</v>
      </c>
      <c r="I32" s="6">
        <f t="shared" si="4"/>
        <v>607458.47738707066</v>
      </c>
      <c r="J32" s="6">
        <f>(($B$3*$B$8)+(SUM($J$21:J31)))*$B$10</f>
        <v>33276.61150523572</v>
      </c>
      <c r="K32" s="6">
        <f>(($B$3*$B$9)+(SUM($K$21:K31))+(SUM($L$21:L31)))*$B$11</f>
        <v>3851.0078977824519</v>
      </c>
      <c r="L32" s="6">
        <f>($B$6-(($B$8*$B$4)+($B$5*$B$9)))*I32*-1</f>
        <v>-3571.8558470359753</v>
      </c>
      <c r="M32" s="14">
        <f t="shared" si="1"/>
        <v>641014.24094305292</v>
      </c>
      <c r="N32">
        <v>11</v>
      </c>
      <c r="O32" s="4">
        <f t="shared" si="2"/>
        <v>-1.761585956761761E-2</v>
      </c>
    </row>
    <row r="33" spans="1:15" x14ac:dyDescent="0.25">
      <c r="A33">
        <v>12</v>
      </c>
      <c r="B33" s="6">
        <f t="shared" si="3"/>
        <v>652306.25779234874</v>
      </c>
      <c r="C33" s="6">
        <f>(($B$3*$B$8)+(SUM($C$21:C32)))*$B$10</f>
        <v>35705.804145117923</v>
      </c>
      <c r="D33" s="6">
        <f>(($B$3*$B$9)+(SUM($D$21:D32))+(SUM($E$21:E32)))*$B$11</f>
        <v>4144.9155878435313</v>
      </c>
      <c r="E33" s="8">
        <f>-1*D33*($B$13+$B$14+$B$15)</f>
        <v>-2047.5883003947044</v>
      </c>
      <c r="F33" s="8">
        <f t="shared" si="0"/>
        <v>690109.38922491542</v>
      </c>
      <c r="H33">
        <v>12</v>
      </c>
      <c r="I33" s="6">
        <f t="shared" si="4"/>
        <v>641014.24094305292</v>
      </c>
      <c r="J33" s="6">
        <f>(($B$3*$B$8)+(SUM($J$21:J32)))*$B$10</f>
        <v>35705.804145117923</v>
      </c>
      <c r="K33" s="6">
        <f>(($B$3*$B$9)+(SUM($K$21:K32))+(SUM($L$21:L32)))*$B$11</f>
        <v>3858.098359871412</v>
      </c>
      <c r="L33" s="6">
        <f>($B$6-(($B$8*$B$4)+($B$5*$B$9)))*I33*-1</f>
        <v>-3769.1637367451513</v>
      </c>
      <c r="M33" s="14">
        <f t="shared" si="1"/>
        <v>676808.97971129708</v>
      </c>
      <c r="N33">
        <v>12</v>
      </c>
      <c r="O33" s="4">
        <f t="shared" si="2"/>
        <v>-1.9651644573764105E-2</v>
      </c>
    </row>
    <row r="34" spans="1:15" x14ac:dyDescent="0.25">
      <c r="A34">
        <v>13</v>
      </c>
      <c r="B34" s="6">
        <f t="shared" si="3"/>
        <v>690109.38922491542</v>
      </c>
      <c r="C34" s="6">
        <f>(($B$3*$B$8)+(SUM($C$21:C33)))*$B$10</f>
        <v>38312.327847711538</v>
      </c>
      <c r="D34" s="6">
        <f>(($B$3*$B$9)+(SUM($D$21:D33))+(SUM($E$21:E33)))*$B$11</f>
        <v>4198.1877009447308</v>
      </c>
      <c r="E34" s="8">
        <f>-1*D34*($B$13+$B$14+$B$15)</f>
        <v>-2073.904724266697</v>
      </c>
      <c r="F34" s="8">
        <f t="shared" si="0"/>
        <v>730546.00004930492</v>
      </c>
      <c r="H34">
        <v>13</v>
      </c>
      <c r="I34" s="6">
        <f t="shared" si="4"/>
        <v>676808.97971129708</v>
      </c>
      <c r="J34" s="6">
        <f>(($B$3*$B$8)+(SUM($J$21:J33)))*$B$10</f>
        <v>38312.327847711538</v>
      </c>
      <c r="K34" s="6">
        <f>(($B$3*$B$9)+(SUM($K$21:K33))+(SUM($L$21:L33)))*$B$11</f>
        <v>3860.3572992988193</v>
      </c>
      <c r="L34" s="6">
        <f>($B$6-(($B$8*$B$4)+($B$5*$B$9)))*I34*-1</f>
        <v>-3979.6368007024266</v>
      </c>
      <c r="M34" s="14">
        <f t="shared" si="1"/>
        <v>715002.02805760503</v>
      </c>
      <c r="N34">
        <v>13</v>
      </c>
      <c r="O34" s="4">
        <f t="shared" si="2"/>
        <v>-2.1739759303798182E-2</v>
      </c>
    </row>
    <row r="35" spans="1:15" x14ac:dyDescent="0.25">
      <c r="A35">
        <v>14</v>
      </c>
      <c r="B35" s="6">
        <f t="shared" si="3"/>
        <v>730546.00004930492</v>
      </c>
      <c r="C35" s="6">
        <f>(($B$3*$B$8)+(SUM($C$21:C34)))*$B$10</f>
        <v>41109.127780594477</v>
      </c>
      <c r="D35" s="6">
        <f>(($B$3*$B$9)+(SUM($D$21:D34))+(SUM($E$21:E34)))*$B$11</f>
        <v>4252.1444885523533</v>
      </c>
      <c r="E35" s="8">
        <f>-1*D35*($B$13+$B$14+$B$15)</f>
        <v>-2100.5593773448627</v>
      </c>
      <c r="F35" s="8">
        <f t="shared" si="0"/>
        <v>773806.71294110687</v>
      </c>
      <c r="H35">
        <v>14</v>
      </c>
      <c r="I35" s="6">
        <f t="shared" si="4"/>
        <v>715002.02805760503</v>
      </c>
      <c r="J35" s="6">
        <f>(($B$3*$B$8)+(SUM($J$21:J34)))*$B$10</f>
        <v>41109.127780594477</v>
      </c>
      <c r="K35" s="6">
        <f>(($B$3*$B$9)+(SUM($K$21:K34))+(SUM($L$21:L34)))*$B$11</f>
        <v>3857.3275999631669</v>
      </c>
      <c r="L35" s="6">
        <f>($B$6-(($B$8*$B$4)+($B$5*$B$9)))*I35*-1</f>
        <v>-4204.2119249787174</v>
      </c>
      <c r="M35" s="14">
        <f t="shared" si="1"/>
        <v>755764.27151318395</v>
      </c>
      <c r="N35">
        <v>14</v>
      </c>
      <c r="O35" s="4">
        <f t="shared" si="2"/>
        <v>-2.3873107141990878E-2</v>
      </c>
    </row>
    <row r="36" spans="1:15" x14ac:dyDescent="0.25">
      <c r="A36">
        <v>15</v>
      </c>
      <c r="B36" s="6">
        <f t="shared" si="3"/>
        <v>773806.71294110687</v>
      </c>
      <c r="C36" s="6">
        <f>(($B$3*$B$8)+(SUM($C$21:C35)))*$B$10</f>
        <v>44110.094108577869</v>
      </c>
      <c r="D36" s="6">
        <f>(($B$3*$B$9)+(SUM($D$21:D35))+(SUM($E$21:E35)))*$B$11</f>
        <v>4306.7947503770238</v>
      </c>
      <c r="E36" s="8">
        <f>-1*D36*($B$13+$B$14+$B$15)</f>
        <v>-2127.5566066862498</v>
      </c>
      <c r="F36" s="8">
        <f t="shared" si="0"/>
        <v>820096.04519337555</v>
      </c>
      <c r="H36">
        <v>15</v>
      </c>
      <c r="I36" s="6">
        <f t="shared" si="4"/>
        <v>755764.27151318395</v>
      </c>
      <c r="J36" s="6">
        <f>(($B$3*$B$8)+(SUM($J$21:J35)))*$B$10</f>
        <v>44110.094108577869</v>
      </c>
      <c r="K36" s="6">
        <f>(($B$3*$B$9)+(SUM($K$21:K35))+(SUM($L$21:L35)))*$B$11</f>
        <v>3848.5167381077727</v>
      </c>
      <c r="L36" s="6">
        <f>($B$6-(($B$8*$B$4)+($B$5*$B$9)))*I36*-1</f>
        <v>-4443.8939164975218</v>
      </c>
      <c r="M36" s="14">
        <f t="shared" si="1"/>
        <v>799278.98844337207</v>
      </c>
      <c r="N36">
        <v>15</v>
      </c>
      <c r="O36" s="4">
        <f t="shared" si="2"/>
        <v>-2.6044794184500626E-2</v>
      </c>
    </row>
    <row r="37" spans="1:15" x14ac:dyDescent="0.25">
      <c r="A37">
        <v>16</v>
      </c>
      <c r="B37" s="6">
        <f t="shared" si="3"/>
        <v>820096.04519337555</v>
      </c>
      <c r="C37" s="6">
        <f>(($B$3*$B$8)+(SUM($C$21:C36)))*$B$10</f>
        <v>47330.130978504058</v>
      </c>
      <c r="D37" s="6">
        <f>(($B$3*$B$9)+(SUM($D$21:D36))+(SUM($E$21:E36)))*$B$11</f>
        <v>4362.1473992267702</v>
      </c>
      <c r="E37" s="8">
        <f>-1*D37*($B$13+$B$14+$B$15)</f>
        <v>-2154.9008152180245</v>
      </c>
      <c r="F37" s="8">
        <f t="shared" si="0"/>
        <v>869633.42275588843</v>
      </c>
      <c r="H37">
        <v>16</v>
      </c>
      <c r="I37" s="6">
        <f t="shared" si="4"/>
        <v>799278.98844337207</v>
      </c>
      <c r="J37" s="6">
        <f>(($B$3*$B$8)+(SUM($J$21:J36)))*$B$10</f>
        <v>47330.130978504058</v>
      </c>
      <c r="K37" s="6">
        <f>(($B$3*$B$9)+(SUM($K$21:K36))+(SUM($L$21:L36)))*$B$11</f>
        <v>3833.3941577766727</v>
      </c>
      <c r="L37" s="6">
        <f>($B$6-(($B$8*$B$4)+($B$5*$B$9)))*I37*-1</f>
        <v>-4699.7604520470277</v>
      </c>
      <c r="M37" s="14">
        <f t="shared" si="1"/>
        <v>845742.75312760589</v>
      </c>
      <c r="N37">
        <v>16</v>
      </c>
      <c r="O37" s="4">
        <f t="shared" si="2"/>
        <v>-2.8248151745827507E-2</v>
      </c>
    </row>
    <row r="38" spans="1:15" x14ac:dyDescent="0.25">
      <c r="A38">
        <v>17</v>
      </c>
      <c r="B38" s="6">
        <f t="shared" si="3"/>
        <v>869633.42275588843</v>
      </c>
      <c r="C38" s="6">
        <f>(($B$3*$B$8)+(SUM($C$21:C37)))*$B$10</f>
        <v>50785.230539934855</v>
      </c>
      <c r="D38" s="6">
        <f>(($B$3*$B$9)+(SUM($D$21:D37))+(SUM($E$21:E37)))*$B$11</f>
        <v>4418.211462460592</v>
      </c>
      <c r="E38" s="8">
        <f>-1*D38*($B$13+$B$14+$B$15)</f>
        <v>-2182.5964624555322</v>
      </c>
      <c r="F38" s="8">
        <f t="shared" si="0"/>
        <v>922654.26829582825</v>
      </c>
      <c r="H38">
        <v>17</v>
      </c>
      <c r="I38" s="6">
        <f t="shared" si="4"/>
        <v>845742.75312760589</v>
      </c>
      <c r="J38" s="6">
        <f>(($B$3*$B$8)+(SUM($J$21:J37)))*$B$10</f>
        <v>50785.230539934855</v>
      </c>
      <c r="K38" s="6">
        <f>(($B$3*$B$9)+(SUM($K$21:K37))+(SUM($L$21:L37)))*$B$11</f>
        <v>3811.388453902206</v>
      </c>
      <c r="L38" s="6">
        <f>($B$6-(($B$8*$B$4)+($B$5*$B$9)))*I38*-1</f>
        <v>-4972.9673883903224</v>
      </c>
      <c r="M38" s="14">
        <f t="shared" si="1"/>
        <v>895366.40473305259</v>
      </c>
      <c r="N38">
        <v>17</v>
      </c>
      <c r="O38" s="4">
        <f t="shared" si="2"/>
        <v>-3.0476756128583304E-2</v>
      </c>
    </row>
    <row r="39" spans="1:15" x14ac:dyDescent="0.25">
      <c r="A39" s="1">
        <v>18</v>
      </c>
      <c r="B39" s="9">
        <f t="shared" si="3"/>
        <v>922654.26829582825</v>
      </c>
      <c r="C39" s="9">
        <f>(($B$3*$B$8)+(SUM($C$21:C38)))*$B$10</f>
        <v>54492.552369350095</v>
      </c>
      <c r="D39" s="9">
        <f>(($B$3*$B$9)+(SUM($D$21:D38))+(SUM($E$21:E38)))*$B$11</f>
        <v>4474.9960834607209</v>
      </c>
      <c r="E39" s="10">
        <f>-1*(D39*($B$13+$B$14+$B$15))+(-1*(C40*($B$12+$B$14+$B$15)))</f>
        <v>-178318.47806946485</v>
      </c>
      <c r="F39" s="10">
        <f t="shared" si="0"/>
        <v>803303.33867917419</v>
      </c>
      <c r="H39" s="1">
        <v>18</v>
      </c>
      <c r="I39" s="9">
        <f t="shared" si="4"/>
        <v>895366.40473305259</v>
      </c>
      <c r="J39" s="9">
        <f>(($B$3*$B$8)+(SUM($J$21:J38)))*$B$10</f>
        <v>54492.552369350095</v>
      </c>
      <c r="K39" s="9">
        <f>(($B$3*$B$9)+(SUM($K$21:K38))+(SUM($L$21:L38)))*$B$11</f>
        <v>3781.8843489662077</v>
      </c>
      <c r="L39" s="9">
        <f>($B$6-(($B$8*$B$4)+($B$5*$B$9)))*I39*-1</f>
        <v>-5264.7544598303493</v>
      </c>
      <c r="M39" s="15">
        <f t="shared" si="1"/>
        <v>948376.08699153853</v>
      </c>
      <c r="N39" s="1">
        <v>18</v>
      </c>
      <c r="O39" s="5">
        <f t="shared" si="2"/>
        <v>0.15296963968436572</v>
      </c>
    </row>
    <row r="40" spans="1:15" x14ac:dyDescent="0.25">
      <c r="C40" s="8">
        <f>SUM(C21:C39)</f>
        <v>590965.87249743368</v>
      </c>
      <c r="D40" s="8">
        <f>SUM(D21:D39)</f>
        <v>75978.846217343889</v>
      </c>
      <c r="E40" s="8">
        <f>SUM(E21:E39)</f>
        <v>-213641.38003560313</v>
      </c>
      <c r="F40" s="8">
        <f>B21+C40+D40+E40</f>
        <v>803303.33867917443</v>
      </c>
      <c r="J40" s="8">
        <f>SUM(J21:J39)</f>
        <v>590965.87249743368</v>
      </c>
      <c r="K40" s="8">
        <f>SUM(K21:K39)</f>
        <v>71582.328419187659</v>
      </c>
      <c r="L40" s="8">
        <f>SUM(L21:L39)</f>
        <v>-64172.11392508298</v>
      </c>
      <c r="M40" s="14">
        <f>I21+J40+K40+L40</f>
        <v>948376.08699153841</v>
      </c>
    </row>
    <row r="44" spans="1:15" x14ac:dyDescent="0.25">
      <c r="A44" t="s">
        <v>24</v>
      </c>
    </row>
    <row r="46" spans="1:15" x14ac:dyDescent="0.25">
      <c r="A46" t="s">
        <v>26</v>
      </c>
      <c r="B46" s="6">
        <f>(43620+9580+5090+1370)*4</f>
        <v>238640</v>
      </c>
    </row>
    <row r="47" spans="1:15" x14ac:dyDescent="0.25">
      <c r="A47" t="s">
        <v>27</v>
      </c>
      <c r="B47" s="6">
        <f>B46*(1+(2*$B$7))^18</f>
        <v>420705.11434581387</v>
      </c>
    </row>
    <row r="49" spans="1:2" x14ac:dyDescent="0.25">
      <c r="A49" t="s">
        <v>28</v>
      </c>
      <c r="B49" s="8">
        <f>M40-B47</f>
        <v>527670.97264572454</v>
      </c>
    </row>
    <row r="50" spans="1:2" x14ac:dyDescent="0.25">
      <c r="A50" t="s">
        <v>29</v>
      </c>
      <c r="B50" s="6">
        <f>155262</f>
        <v>155262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Company>Stites &amp; Harbison PLLC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Ruml, Carter</dc:creator>
  <cp:lastModifiedBy>Ruml, Carter</cp:lastModifiedBy>
  <cp:lastPrinted>2015-05-03T18:31:18Z</cp:lastPrinted>
  <dcterms:created xsi:type="dcterms:W3CDTF">2015-05-03T17:09:22Z</dcterms:created>
  <dcterms:modified xsi:type="dcterms:W3CDTF">2015-05-03T18:32:02Z</dcterms:modified>
</cp:coreProperties>
</file>